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FGI-Calculator-GM-Leakage-2019-11-20-19\"/>
    </mc:Choice>
  </mc:AlternateContent>
  <xr:revisionPtr revIDLastSave="0" documentId="13_ncr:1_{DE817352-2869-4ABC-AFF0-17E764540C73}" xr6:coauthVersionLast="45" xr6:coauthVersionMax="45" xr10:uidLastSave="{00000000-0000-0000-0000-000000000000}"/>
  <bookViews>
    <workbookView xWindow="21840" yWindow="-103" windowWidth="22149" windowHeight="13320" xr2:uid="{00000000-000D-0000-FFFF-FFFF00000000}"/>
  </bookViews>
  <sheets>
    <sheet name="Wrinkle" sheetId="1" r:id="rId1"/>
    <sheet name="Dimensional Stability" sheetId="2" r:id="rId2"/>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46" i="1" l="1"/>
  <c r="I38" i="1"/>
  <c r="J74" i="1"/>
  <c r="J70" i="1"/>
  <c r="J66" i="1"/>
  <c r="J62" i="1"/>
  <c r="J58" i="1"/>
  <c r="J54" i="1"/>
  <c r="J50" i="1"/>
  <c r="J46" i="1"/>
  <c r="I70" i="1"/>
  <c r="I66" i="1"/>
  <c r="I62" i="1"/>
  <c r="I58" i="1"/>
  <c r="I54" i="1"/>
  <c r="I50" i="1"/>
  <c r="N34" i="1"/>
  <c r="N35" i="1"/>
  <c r="N36" i="1"/>
  <c r="N37" i="1"/>
  <c r="N38" i="1"/>
  <c r="O34" i="1"/>
  <c r="P34" i="1" l="1"/>
  <c r="N22" i="1"/>
  <c r="N11" i="1"/>
  <c r="I74" i="1"/>
  <c r="I40" i="1"/>
  <c r="W20" i="1"/>
  <c r="I37" i="1"/>
  <c r="I34" i="1"/>
  <c r="I35" i="1" s="1"/>
  <c r="B15" i="1" s="1"/>
  <c r="B18" i="1" s="1"/>
  <c r="D41" i="1"/>
  <c r="I41" i="1" l="1"/>
  <c r="I47" i="1"/>
  <c r="D42" i="1"/>
  <c r="O25" i="1" l="1"/>
  <c r="O24" i="1" s="1"/>
  <c r="N31" i="1"/>
  <c r="N32" i="1" l="1"/>
  <c r="D38" i="1"/>
  <c r="D28" i="1"/>
  <c r="D31" i="1"/>
  <c r="D30" i="1"/>
  <c r="O35" i="1" s="1"/>
  <c r="Q35" i="1" s="1"/>
  <c r="D36" i="1"/>
  <c r="R15" i="1"/>
  <c r="R16" i="1"/>
  <c r="Q15" i="1"/>
  <c r="Q16" i="1"/>
  <c r="P15" i="1"/>
  <c r="P16" i="1"/>
  <c r="O15" i="1"/>
  <c r="O16" i="1"/>
  <c r="N14" i="1"/>
  <c r="N15" i="1"/>
  <c r="N16" i="1"/>
  <c r="N24" i="1"/>
  <c r="N13" i="1" s="1"/>
  <c r="Q25" i="1"/>
  <c r="Q24" i="1" s="1"/>
  <c r="R25" i="1"/>
  <c r="R24" i="1" s="1"/>
  <c r="P25" i="1"/>
  <c r="P14" i="1" s="1"/>
  <c r="P38" i="1" l="1"/>
  <c r="N23" i="1"/>
  <c r="P24" i="1"/>
  <c r="P13" i="1" s="1"/>
  <c r="Q14" i="1"/>
  <c r="I28" i="1"/>
  <c r="I31" i="1" s="1"/>
  <c r="R13" i="1"/>
  <c r="R23" i="1"/>
  <c r="I29" i="1"/>
  <c r="R14" i="1"/>
  <c r="P37" i="1"/>
  <c r="Q13" i="1"/>
  <c r="Q23" i="1"/>
  <c r="O36" i="1"/>
  <c r="Q36" i="1" s="1"/>
  <c r="Q34" i="1"/>
  <c r="O38" i="1"/>
  <c r="Q38" i="1" s="1"/>
  <c r="O37" i="1"/>
  <c r="Q37" i="1" s="1"/>
  <c r="P36" i="1"/>
  <c r="B12" i="1"/>
  <c r="P35" i="1"/>
  <c r="R38" i="1" l="1"/>
  <c r="N12" i="1"/>
  <c r="P23" i="1"/>
  <c r="R34" i="1"/>
  <c r="I30" i="1"/>
  <c r="R36" i="1"/>
  <c r="R37" i="1"/>
  <c r="R35" i="1"/>
  <c r="R12" i="1"/>
  <c r="R22" i="1"/>
  <c r="R11" i="1" s="1"/>
  <c r="Q22" i="1"/>
  <c r="Q11" i="1" s="1"/>
  <c r="Q12" i="1"/>
  <c r="O14" i="1"/>
  <c r="O23" i="1"/>
  <c r="P22" i="1" l="1"/>
  <c r="P11" i="1" s="1"/>
  <c r="P12" i="1"/>
  <c r="O22" i="1"/>
  <c r="O11" i="1" s="1"/>
  <c r="O12" i="1"/>
  <c r="O13" i="1"/>
  <c r="J75" i="1" l="1"/>
  <c r="I75" i="1"/>
  <c r="I71" i="1"/>
  <c r="J67" i="1"/>
  <c r="I55" i="1"/>
  <c r="J55" i="1"/>
  <c r="I63" i="1"/>
  <c r="I51" i="1"/>
  <c r="J47" i="1"/>
  <c r="J59" i="1"/>
  <c r="J71" i="1"/>
  <c r="J63" i="1"/>
  <c r="J51" i="1"/>
  <c r="I59" i="1"/>
  <c r="I67" i="1"/>
  <c r="B16" i="1"/>
  <c r="B19" i="1" s="1"/>
  <c r="I42" i="1" l="1"/>
  <c r="J48" i="1" s="1"/>
  <c r="I72" i="1" l="1"/>
  <c r="J56" i="1"/>
  <c r="I64" i="1"/>
  <c r="I56" i="1"/>
  <c r="J52" i="1"/>
  <c r="I68" i="1"/>
  <c r="J64" i="1"/>
  <c r="I52" i="1"/>
  <c r="J68" i="1"/>
  <c r="J72" i="1"/>
  <c r="I60" i="1"/>
  <c r="J60" i="1"/>
  <c r="W34" i="1"/>
  <c r="I48" i="1"/>
  <c r="Y34" i="1"/>
  <c r="AA37" i="1"/>
  <c r="AD34" i="1"/>
  <c r="Z38" i="1"/>
  <c r="W36" i="1"/>
  <c r="AB36" i="1"/>
  <c r="AC38" i="1"/>
  <c r="Z36" i="1"/>
  <c r="X34" i="1"/>
  <c r="Y36" i="1"/>
  <c r="AB35" i="1"/>
  <c r="AC36" i="1"/>
  <c r="Z37" i="1"/>
  <c r="AD35" i="1"/>
  <c r="Y37" i="1"/>
  <c r="X38" i="1"/>
  <c r="Y35" i="1"/>
  <c r="AB34" i="1"/>
  <c r="AD37" i="1"/>
  <c r="Z35" i="1"/>
  <c r="AA38" i="1"/>
  <c r="AB37" i="1"/>
  <c r="AC35" i="1"/>
  <c r="Z34" i="1"/>
  <c r="X37" i="1"/>
  <c r="AA36" i="1"/>
  <c r="AB38" i="1"/>
  <c r="AC34" i="1"/>
  <c r="W38" i="1"/>
  <c r="AD38" i="1"/>
  <c r="AC37" i="1"/>
  <c r="AA34" i="1"/>
  <c r="X36" i="1"/>
  <c r="Y38" i="1"/>
  <c r="W35" i="1"/>
  <c r="X35" i="1"/>
  <c r="AA35" i="1"/>
  <c r="W37" i="1"/>
  <c r="AD36" i="1"/>
  <c r="J76" i="1"/>
  <c r="I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tc={9F951088-C2E1-DF4F-BE68-009851C3F395}</author>
    <author>tc={86BE31C2-F11A-C246-B4C4-C766A2A657EE}</author>
    <author>tc={6FA806C3-AEAB-7C49-997F-A6B5B0CC372C}</author>
    <author>tc={58D92C3F-75CB-B047-8ED6-5BEA632E5602}</author>
    <author>tc={B5ABA121-5054-8042-9A87-510E56C16848}</author>
    <author>tc={498D8688-4B8C-5E49-B3B6-D6F8717BC12B}</author>
  </authors>
  <commentList>
    <comment ref="B18" authorId="0" shapeId="0" xr:uid="{9F951088-C2E1-DF4F-BE68-009851C3F395}">
      <text>
        <t>[Threaded comment]
Your version of Excel allows you to read this threaded comment; however, any edits to it will get removed if the file is opened in a newer version of Excel. Learn more: https://go.microsoft.com/fwlink/?linkid=870924
Comment:
    What does the 0.0000031 stands for?</t>
      </text>
    </comment>
    <comment ref="I35" authorId="1" shapeId="0" xr:uid="{86BE31C2-F11A-C246-B4C4-C766A2A657EE}">
      <text>
        <t>[Threaded comment]
Your version of Excel allows you to read this threaded comment; however, any edits to it will get removed if the file is opened in a newer version of Excel. Learn more: https://go.microsoft.com/fwlink/?linkid=870924
Comment:
    Using the area in cm^2 to report cm^3/sec</t>
      </text>
    </comment>
    <comment ref="I37" authorId="2" shapeId="0" xr:uid="{6FA806C3-AEAB-7C49-997F-A6B5B0CC372C}">
      <text>
        <t>[Threaded comment]
Your version of Excel allows you to read this threaded comment; however, any edits to it will get removed if the file is opened in a newer version of Excel. Learn more: https://go.microsoft.com/fwlink/?linkid=870924
Comment:
    GM thickness converted from cm to m</t>
      </text>
    </comment>
    <comment ref="I40" authorId="3" shapeId="0" xr:uid="{58D92C3F-75CB-B047-8ED6-5BEA632E5602}">
      <text>
        <t>[Threaded comment]
Your version of Excel allows you to read this threaded comment; however, any edits to it will get removed if the file is opened in a newer version of Excel. Learn more: https://go.microsoft.com/fwlink/?linkid=870924
Comment:
    The area of the holes and the head on GM were converted to cm so that everything is in cm, reporting in cm^3/sec</t>
      </text>
    </comment>
    <comment ref="J46" authorId="4" shapeId="0" xr:uid="{B5ABA121-5054-8042-9A87-510E56C16848}">
      <text>
        <t xml:space="preserve">[Threaded comment]
Your version of Excel allows you to read this threaded comment; however, any edits to it will get removed if the file is opened in a newer version of Excel. Learn more: https://go.microsoft.com/fwlink/?linkid=870924
Comment:
    Every item is converted to cm to report in cm^3/s
</t>
      </text>
    </comment>
    <comment ref="F48" authorId="5" shapeId="0" xr:uid="{498D8688-4B8C-5E49-B3B6-D6F8717BC12B}">
      <text>
        <t xml:space="preserve">[Threaded comment]
Your version of Excel allows you to read this threaded comment; however, any edits to it will get removed if the file is opened in a newer version of Excel. Learn more: https://go.microsoft.com/fwlink/?linkid=870924
Comment:
    These units have not been changed because these are typical dimensions that we are providing. In the calculations, these are transformed into cm
</t>
      </text>
    </comment>
  </commentList>
</comments>
</file>

<file path=xl/sharedStrings.xml><?xml version="1.0" encoding="utf-8"?>
<sst xmlns="http://schemas.openxmlformats.org/spreadsheetml/2006/main" count="388" uniqueCount="190">
  <si>
    <t>Input Parameters</t>
  </si>
  <si>
    <t>H</t>
  </si>
  <si>
    <t>=</t>
  </si>
  <si>
    <t>:</t>
  </si>
  <si>
    <t>V</t>
  </si>
  <si>
    <t>cm/sec</t>
  </si>
  <si>
    <t>Geomembrane</t>
  </si>
  <si>
    <t>Calculations</t>
  </si>
  <si>
    <t>Hydraulic Gradient, i</t>
  </si>
  <si>
    <t>Depth</t>
  </si>
  <si>
    <t>Material Properties</t>
  </si>
  <si>
    <t>ft.</t>
  </si>
  <si>
    <t>Hydraulic Conductivity (cm/sec)</t>
  </si>
  <si>
    <t>Pond Geometry</t>
  </si>
  <si>
    <t>Side Slope Geometry</t>
  </si>
  <si>
    <t>Pond Freeboard</t>
  </si>
  <si>
    <t>Area of Pond Bottom</t>
  </si>
  <si>
    <t>Area of Four Sideslopes</t>
  </si>
  <si>
    <t>Total Leakage Area</t>
  </si>
  <si>
    <t>Leakage Rate, q</t>
  </si>
  <si>
    <t>1 x 10-14 Geomembrane</t>
  </si>
  <si>
    <t>Leakage Rate Calculator from a Water Pond</t>
  </si>
  <si>
    <t>Water Below Pond Surface</t>
  </si>
  <si>
    <t>Thickness</t>
  </si>
  <si>
    <t>gallon</t>
  </si>
  <si>
    <t>Total Volume of Pond</t>
  </si>
  <si>
    <t xml:space="preserve">Typical Leakage Rates (gallons/day) For Slope 3H:1V </t>
  </si>
  <si>
    <r>
      <t>Typical Leakage Rates (cm</t>
    </r>
    <r>
      <rPr>
        <vertAlign val="superscript"/>
        <sz val="20"/>
        <color theme="1"/>
        <rFont val="Calibri"/>
        <family val="2"/>
        <scheme val="minor"/>
      </rPr>
      <t>3</t>
    </r>
    <r>
      <rPr>
        <sz val="20"/>
        <color theme="1"/>
        <rFont val="Calibri"/>
        <family val="2"/>
        <scheme val="minor"/>
      </rPr>
      <t xml:space="preserve">/sec) For Slope 3H:1V </t>
    </r>
  </si>
  <si>
    <t>Depth (ft.)</t>
  </si>
  <si>
    <t>Volume of Pond (Gallons)</t>
  </si>
  <si>
    <t>Calculated Results</t>
  </si>
  <si>
    <t>Compacted Soil Liner</t>
  </si>
  <si>
    <t>STEP FOUR (Plot and Comparison)</t>
  </si>
  <si>
    <t>STEP TWO (Detailed Information)</t>
  </si>
  <si>
    <t>Pond Depth,</t>
  </si>
  <si>
    <t>gallons/day</t>
  </si>
  <si>
    <t>gallons</t>
  </si>
  <si>
    <t>STEP THREE (Typical Leakage Rates)</t>
  </si>
  <si>
    <t>NOTES:</t>
  </si>
  <si>
    <t>STEP ONE (General Calculations &amp; Summary)</t>
  </si>
  <si>
    <t>Total/overall volume of the pond is:</t>
  </si>
  <si>
    <t>Leakage through the compacted soil liner is:</t>
  </si>
  <si>
    <t>Leakage through a geomembrane is ONLY:</t>
    <phoneticPr fontId="12" type="noConversion"/>
  </si>
  <si>
    <t>*Compacted soil hydraulic conductivty is 1x10-7 cm/sec based on Subtitles D and C landfill requirements</t>
    <phoneticPr fontId="12" type="noConversion"/>
  </si>
  <si>
    <t>**Geomembrane hydraulic conductivty ranges from 1x10-10 to 1x10-14 cm/sec for typical products based on vapor transmission testing</t>
  </si>
  <si>
    <t>University of Illinios at Urbana-Champaign</t>
  </si>
  <si>
    <t>Explanation of Calculations</t>
  </si>
  <si>
    <t>By: Timothy D. Stark, Ph.D., P.E., D.GE, F.ASCE</t>
  </si>
  <si>
    <t>The shape of the water pond is a right frustum, which leads to the total volume calculation of:  Volume = Surface Area at Top+Surface Area at Bottom)/2*Height.</t>
  </si>
  <si>
    <t>acre-foot</t>
    <phoneticPr fontId="12" type="noConversion"/>
  </si>
  <si>
    <t>=</t>
    <phoneticPr fontId="12" type="noConversion"/>
  </si>
  <si>
    <t>gallon</t>
    <phoneticPr fontId="12" type="noConversion"/>
  </si>
  <si>
    <t>1 x 10-4-Compacted Soil</t>
  </si>
  <si>
    <t>1 x 10-5-Compacted Soil</t>
  </si>
  <si>
    <t>1 x 10-6-Compacted Soil</t>
  </si>
  <si>
    <t>1 x 10-7-Compacted Soil</t>
  </si>
  <si>
    <t>1 x 10-8-Compacted Soil</t>
  </si>
  <si>
    <t>Leakage for Geomembrane (Gallons/Day)</t>
  </si>
  <si>
    <t>Leakage for Soil Liner (Gallons/Day)</t>
  </si>
  <si>
    <t>Money Loss for Geomembrane (US Dollar/Day)</t>
  </si>
  <si>
    <t>Water can leak through these five areas.</t>
  </si>
  <si>
    <t xml:space="preserve">The contact area between the water and the pond bottom, i.e., top of geomembrane or compacted soil liner/geomembrane, consists of the area at the base of the pond and on the four sides.  </t>
  </si>
  <si>
    <t>Money Loss for Compacted Soil (US Dollar/Day)</t>
  </si>
  <si>
    <t xml:space="preserve">Cost of water is: </t>
  </si>
  <si>
    <t>Lost Money due to Compacted Soil Leakage:</t>
  </si>
  <si>
    <t>Lost Money due to Geomembrane Leakage:</t>
  </si>
  <si>
    <t>/acre-foot</t>
  </si>
  <si>
    <t>$/year</t>
  </si>
  <si>
    <t>$200 to $3.4M/acre-foot</t>
  </si>
  <si>
    <t>325.851 gallons/acre-foot</t>
  </si>
  <si>
    <t>For a pond with the following dimensions: Top Width</t>
  </si>
  <si>
    <t>Pond Top Length</t>
  </si>
  <si>
    <t>Pond Top Width</t>
  </si>
  <si>
    <t>Compacted Soil Liner Hydraulic Conductivity</t>
  </si>
  <si>
    <t>Geomembrane Hydraulic Conductivity</t>
  </si>
  <si>
    <r>
      <t>ft</t>
    </r>
    <r>
      <rPr>
        <vertAlign val="superscript"/>
        <sz val="18"/>
        <color theme="1"/>
        <rFont val="Calibri"/>
        <family val="2"/>
        <scheme val="minor"/>
      </rPr>
      <t>2</t>
    </r>
  </si>
  <si>
    <r>
      <t>cm</t>
    </r>
    <r>
      <rPr>
        <vertAlign val="superscript"/>
        <sz val="18"/>
        <color theme="1"/>
        <rFont val="Calibri"/>
        <family val="2"/>
        <scheme val="minor"/>
      </rPr>
      <t>2</t>
    </r>
  </si>
  <si>
    <r>
      <t>ft</t>
    </r>
    <r>
      <rPr>
        <vertAlign val="superscript"/>
        <sz val="18"/>
        <color theme="1"/>
        <rFont val="Calibri"/>
        <family val="2"/>
        <scheme val="minor"/>
      </rPr>
      <t>3</t>
    </r>
  </si>
  <si>
    <r>
      <t>cm</t>
    </r>
    <r>
      <rPr>
        <vertAlign val="superscript"/>
        <sz val="18"/>
        <color theme="1"/>
        <rFont val="Calibri"/>
        <family val="2"/>
        <scheme val="minor"/>
      </rPr>
      <t>3</t>
    </r>
  </si>
  <si>
    <t>Notes</t>
  </si>
  <si>
    <t>and a geomembrane hydraulic conductivity of **</t>
  </si>
  <si>
    <t>Fabricated Geomembrane Institute</t>
  </si>
  <si>
    <t>Conversion Factor</t>
  </si>
  <si>
    <t>Hydraulic Conductivity, k</t>
  </si>
  <si>
    <t>Leakage Rate No Defects, q</t>
  </si>
  <si>
    <t>Number of holes</t>
  </si>
  <si>
    <t>For the total leakage Area</t>
  </si>
  <si>
    <t>Area of a hole</t>
  </si>
  <si>
    <t>m</t>
  </si>
  <si>
    <t>Leakage Rate, GM w. defects, q</t>
  </si>
  <si>
    <t>Hydraulic head on GM</t>
  </si>
  <si>
    <r>
      <t>m</t>
    </r>
    <r>
      <rPr>
        <vertAlign val="superscript"/>
        <sz val="20"/>
        <color theme="4" tint="-0.499984740745262"/>
        <rFont val="Calibri (Cuerpo)"/>
      </rPr>
      <t>2</t>
    </r>
  </si>
  <si>
    <t>Leakage Rate for one hole</t>
  </si>
  <si>
    <r>
      <t xml:space="preserve">Leakage Rate for </t>
    </r>
    <r>
      <rPr>
        <b/>
        <u/>
        <sz val="20"/>
        <color rgb="FFFA7D00"/>
        <rFont val="Calibri (Cuerpo)"/>
      </rPr>
      <t>all</t>
    </r>
    <r>
      <rPr>
        <b/>
        <sz val="20"/>
        <color rgb="FFFA7D00"/>
        <rFont val="Calibri"/>
        <family val="2"/>
        <scheme val="minor"/>
      </rPr>
      <t xml:space="preserve"> holes</t>
    </r>
  </si>
  <si>
    <t>with "high Inspection"</t>
  </si>
  <si>
    <t>Transmissivity</t>
  </si>
  <si>
    <t>Head Loss</t>
  </si>
  <si>
    <t>HDPE</t>
  </si>
  <si>
    <t>LLDPE</t>
  </si>
  <si>
    <t>PVC</t>
  </si>
  <si>
    <t>Flexible PP</t>
  </si>
  <si>
    <t>Good Contact</t>
  </si>
  <si>
    <r>
      <t>m</t>
    </r>
    <r>
      <rPr>
        <vertAlign val="superscript"/>
        <sz val="20"/>
        <color rgb="FF3F3F76"/>
        <rFont val="Calibri (Cuerpo)"/>
      </rPr>
      <t>2</t>
    </r>
    <r>
      <rPr>
        <sz val="20"/>
        <color rgb="FF3F3F76"/>
        <rFont val="Calibri"/>
        <family val="2"/>
        <scheme val="minor"/>
      </rPr>
      <t>/s</t>
    </r>
  </si>
  <si>
    <t>Poor Contact</t>
  </si>
  <si>
    <t># of holes per hectare</t>
  </si>
  <si>
    <r>
      <rPr>
        <u/>
        <sz val="20"/>
        <color rgb="FF3F3F76"/>
        <rFont val="Calibri"/>
        <family val="2"/>
        <scheme val="minor"/>
      </rPr>
      <t>Geomembrane D</t>
    </r>
    <r>
      <rPr>
        <u/>
        <sz val="20"/>
        <color rgb="FF3F3F76"/>
        <rFont val="Calibri (Cuerpo)"/>
      </rPr>
      <t>efects</t>
    </r>
  </si>
  <si>
    <t>Geomembrane with Defects</t>
  </si>
  <si>
    <t>ft</t>
  </si>
  <si>
    <t xml:space="preserve">cm </t>
  </si>
  <si>
    <r>
      <t>m</t>
    </r>
    <r>
      <rPr>
        <vertAlign val="superscript"/>
        <sz val="18"/>
        <color theme="1"/>
        <rFont val="Calibri"/>
        <family val="2"/>
        <scheme val="minor"/>
      </rPr>
      <t>2</t>
    </r>
  </si>
  <si>
    <t>with a compacted soil hydraulic conductivity of *</t>
  </si>
  <si>
    <r>
      <t>*Assumes area of 4 mm</t>
    </r>
    <r>
      <rPr>
        <vertAlign val="superscript"/>
        <sz val="20"/>
        <color theme="4" tint="-0.499984740745262"/>
        <rFont val="Calibri (Cuerpo)"/>
      </rPr>
      <t>2</t>
    </r>
  </si>
  <si>
    <t>Geomembrane Defects</t>
  </si>
  <si>
    <t>Geomembrane Wrinkle Dimensions</t>
  </si>
  <si>
    <t>Flow Parameters</t>
  </si>
  <si>
    <t>Side Slope Inclination</t>
  </si>
  <si>
    <t>Geomembrane with wrinkles</t>
  </si>
  <si>
    <t>Poor contact</t>
  </si>
  <si>
    <t>Leakage rate, wrinkles</t>
  </si>
  <si>
    <t>0.7-1.0</t>
  </si>
  <si>
    <t>0.3-0.7</t>
  </si>
  <si>
    <t>0.1-0.2</t>
  </si>
  <si>
    <t>10.0-20.0</t>
  </si>
  <si>
    <t>10.0-15.0</t>
  </si>
  <si>
    <t>2.0-5.0</t>
  </si>
  <si>
    <t xml:space="preserve"> Reinforced CSPE</t>
  </si>
  <si>
    <t>Reinforced Ethylene Interpolymer Alloy (EIA)</t>
  </si>
  <si>
    <t>1.0-5.0</t>
  </si>
  <si>
    <t xml:space="preserve"> Reinforced LLDPE</t>
  </si>
  <si>
    <t>Reinforced flexible PP (R-fPP)</t>
  </si>
  <si>
    <t>Leakage w/wrinkles &amp; no defects</t>
  </si>
  <si>
    <t>Wrinkle Dimensions for Different Geomembranes</t>
  </si>
  <si>
    <t>Geomembranes Type</t>
  </si>
  <si>
    <t>Input wrinkle dimensions</t>
  </si>
  <si>
    <t xml:space="preserve">Typical Wrinkle Dimensions </t>
  </si>
  <si>
    <t>R-fPP GM</t>
  </si>
  <si>
    <t>Leakage w/wrinkles &amp; defects</t>
  </si>
  <si>
    <t xml:space="preserve">The leakage rate (q) from the pond is calculated using Darcy's Law:  q=k*(h/L)*A.  A constant-head seepage condition is assumed, which means the pond level does not change during the length of ponding or seepage.  The pond level, or total head causing seepage (h), is the depth of pond minus the free board, i.e., (D-FB).  L is the thickness of the geomembrane or compacted soil liner and A is the contact area of seepage (A) is the five areas mentioned above, i.e., (Area of the pond base + Area of four sides).  k is the hydraulic conductivity of the geomembrane or compacted soil liner and q is the leakage rate as a function of time. The leakage rate can be converted to leakge volume by multiplying q by a certain time period to estimate the leakage in gallons or cubic feet. </t>
  </si>
  <si>
    <t>60 mil Black HDPE</t>
  </si>
  <si>
    <t>30 mil Grey PVC</t>
  </si>
  <si>
    <t>30 mil Black LLDPE</t>
  </si>
  <si>
    <t>30 mil Black Flexible PP</t>
  </si>
  <si>
    <t>36 mil Black Reinforced flexible PP (R-fPP)</t>
  </si>
  <si>
    <t>30 mil White Reinforced Ethylene Interpolymer Alloy (EIA)</t>
  </si>
  <si>
    <t xml:space="preserve"> 36 mil Black Reinforced CSPE</t>
  </si>
  <si>
    <t>36 mil Black Reinforced LLDPE</t>
  </si>
  <si>
    <t>Typical Goembranes Used</t>
  </si>
  <si>
    <t>30 and 40 mil Black Flexible PP</t>
  </si>
  <si>
    <t>30 and 40 mil Grey PVC</t>
  </si>
  <si>
    <t>36, 45, and 60 mil Black Reinforced flexible PP (R-fPP)</t>
  </si>
  <si>
    <t>30 and 40 mil White Reinforced Ethylene Interpolymer Alloy (EIA)</t>
  </si>
  <si>
    <t xml:space="preserve"> 36, 45, 60, and 90 mil Black Reinforced CSPE</t>
  </si>
  <si>
    <t>30, 36, 45, and 60 mil Black Scrim Reinforced LLDPE</t>
  </si>
  <si>
    <t>30, 36, and 45 mil Black Woven Coated LLDPE</t>
  </si>
  <si>
    <t>60 mil black HDPE GM</t>
  </si>
  <si>
    <t>30 mil black LLDPE GM</t>
  </si>
  <si>
    <t>30 mil black FLEXIBLE PP GM</t>
  </si>
  <si>
    <t>30 mil grey PVC GM</t>
  </si>
  <si>
    <t>36 mil black R-EIA GM</t>
  </si>
  <si>
    <t>36 mil black R-CSPE GM</t>
  </si>
  <si>
    <t>36 mil black R-LLDPE GM</t>
  </si>
  <si>
    <r>
      <t>m</t>
    </r>
    <r>
      <rPr>
        <vertAlign val="superscript"/>
        <sz val="18"/>
        <color theme="1"/>
        <rFont val="Calibri"/>
        <family val="2"/>
        <scheme val="minor"/>
      </rPr>
      <t>3</t>
    </r>
    <r>
      <rPr>
        <sz val="18"/>
        <color theme="1"/>
        <rFont val="Calibri"/>
        <family val="2"/>
        <scheme val="minor"/>
      </rPr>
      <t>/day</t>
    </r>
  </si>
  <si>
    <r>
      <t>m</t>
    </r>
    <r>
      <rPr>
        <vertAlign val="superscript"/>
        <sz val="18"/>
        <color theme="1"/>
        <rFont val="Calibri"/>
        <family val="2"/>
        <scheme val="minor"/>
      </rPr>
      <t xml:space="preserve">3 </t>
    </r>
  </si>
  <si>
    <t>m2</t>
  </si>
  <si>
    <t>m3</t>
  </si>
  <si>
    <t>cm</t>
  </si>
  <si>
    <t>cm3/sec</t>
  </si>
  <si>
    <t>meters</t>
  </si>
  <si>
    <t>cm.</t>
  </si>
  <si>
    <t>cm3/day</t>
  </si>
  <si>
    <t>1.5 m depth</t>
  </si>
  <si>
    <t>3 m depth</t>
  </si>
  <si>
    <t>4.5 m depth</t>
  </si>
  <si>
    <t>6 m depth</t>
  </si>
  <si>
    <t>7.5 m depth</t>
  </si>
  <si>
    <r>
      <t>cm</t>
    </r>
    <r>
      <rPr>
        <vertAlign val="superscript"/>
        <sz val="18"/>
        <color theme="1"/>
        <rFont val="Calibri"/>
        <family val="2"/>
        <scheme val="minor"/>
      </rPr>
      <t>3</t>
    </r>
    <r>
      <rPr>
        <sz val="18"/>
        <color theme="1"/>
        <rFont val="Calibri"/>
        <family val="2"/>
        <scheme val="minor"/>
      </rPr>
      <t>/sec</t>
    </r>
  </si>
  <si>
    <t>Total Leakage Rate (cm3/sec) for different types of geomembranes, with defects and wrinkles</t>
  </si>
  <si>
    <t>Unreinforced and Reinforced Geomembrane Defect and Wrinkle Leakage Calculator - January, 2021</t>
  </si>
  <si>
    <t>Drainage Composite</t>
  </si>
  <si>
    <t>Width (0.2 to 0.3 m)</t>
  </si>
  <si>
    <t>Length (100 to 200 m)</t>
  </si>
  <si>
    <t>Width (0.1 to 0.3 m)</t>
  </si>
  <si>
    <t>Length (50 to 100 m)</t>
  </si>
  <si>
    <t>Width (3 to 6 cm)</t>
  </si>
  <si>
    <t>Length (3 to 4.5 m)</t>
  </si>
  <si>
    <t>Width (3 to 4 cm)</t>
  </si>
  <si>
    <t>Length (3 to 6 m)</t>
  </si>
  <si>
    <t>Width (1.5 to 2.0 cm)</t>
  </si>
  <si>
    <t>Length (0.6 to 1.5 m)</t>
  </si>
  <si>
    <t>Length (0.3 to 1.5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</si>
</sst>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
    <numFmt numFmtId="165" formatCode="0.00000"/>
    <numFmt numFmtId="166" formatCode="0.000000"/>
    <numFmt numFmtId="167" formatCode="_(* #,##0.0_);_(* \(#,##0.0\);_(* &quot;-&quot;??_);_(@_)"/>
    <numFmt numFmtId="168" formatCode="#,##0.000000_);\(#,##0.000000\)"/>
    <numFmt numFmtId="169" formatCode="&quot;US$&quot;#,##0.00"/>
    <numFmt numFmtId="170" formatCode="#,##0.0"/>
    <numFmt numFmtId="171" formatCode="0.0000%"/>
    <numFmt numFmtId="172" formatCode="0.000"/>
  </numFmts>
  <fonts count="55">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FA7D00"/>
      <name val="Calibri"/>
      <family val="2"/>
      <scheme val="minor"/>
    </font>
    <font>
      <sz val="11"/>
      <color theme="0"/>
      <name val="Calibri"/>
      <family val="2"/>
      <scheme val="minor"/>
    </font>
    <font>
      <sz val="14"/>
      <color theme="1"/>
      <name val="Calibri"/>
      <family val="2"/>
      <scheme val="minor"/>
    </font>
    <font>
      <sz val="20"/>
      <color theme="1"/>
      <name val="Calibri"/>
      <family val="2"/>
      <scheme val="minor"/>
    </font>
    <font>
      <vertAlign val="superscript"/>
      <sz val="20"/>
      <color theme="1"/>
      <name val="Calibri"/>
      <family val="2"/>
      <scheme val="minor"/>
    </font>
    <font>
      <b/>
      <sz val="14"/>
      <color rgb="FFFA7D00"/>
      <name val="Calibri"/>
      <family val="2"/>
      <scheme val="minor"/>
    </font>
    <font>
      <b/>
      <sz val="14"/>
      <color rgb="FF9C0006"/>
      <name val="Calibri"/>
      <family val="2"/>
      <scheme val="minor"/>
    </font>
    <font>
      <sz val="9"/>
      <name val="Calibri"/>
      <family val="2"/>
      <scheme val="minor"/>
    </font>
    <font>
      <b/>
      <sz val="11"/>
      <color rgb="FF3F3F3F"/>
      <name val="Calibri"/>
      <family val="2"/>
      <scheme val="minor"/>
    </font>
    <font>
      <b/>
      <sz val="12"/>
      <color rgb="FF3F3F3F"/>
      <name val="Calibri"/>
      <family val="2"/>
      <scheme val="minor"/>
    </font>
    <font>
      <b/>
      <sz val="11"/>
      <color theme="1"/>
      <name val="Calibri"/>
      <family val="2"/>
      <scheme val="minor"/>
    </font>
    <font>
      <b/>
      <sz val="14"/>
      <color rgb="FF3F3F3F"/>
      <name val="Calibri"/>
      <family val="2"/>
      <scheme val="minor"/>
    </font>
    <font>
      <b/>
      <sz val="14"/>
      <color theme="1"/>
      <name val="Calibri"/>
      <family val="2"/>
      <scheme val="minor"/>
    </font>
    <font>
      <sz val="16"/>
      <color theme="1"/>
      <name val="Times New Roman"/>
      <family val="1"/>
    </font>
    <font>
      <b/>
      <sz val="16"/>
      <color rgb="FF3F3F3F"/>
      <name val="Calibri"/>
      <family val="2"/>
      <scheme val="minor"/>
    </font>
    <font>
      <b/>
      <sz val="20"/>
      <color rgb="FF3F3F3F"/>
      <name val="Calibri"/>
      <family val="2"/>
      <scheme val="minor"/>
    </font>
    <font>
      <sz val="20"/>
      <color theme="0"/>
      <name val="Calibri"/>
      <family val="2"/>
      <scheme val="minor"/>
    </font>
    <font>
      <sz val="20"/>
      <color rgb="FF006100"/>
      <name val="Calibri"/>
      <family val="2"/>
      <scheme val="minor"/>
    </font>
    <font>
      <b/>
      <sz val="20"/>
      <color rgb="FF3F3F76"/>
      <name val="Calibri"/>
      <family val="2"/>
      <scheme val="minor"/>
    </font>
    <font>
      <b/>
      <sz val="20"/>
      <color rgb="FF9C0006"/>
      <name val="Calibri"/>
      <family val="2"/>
      <scheme val="minor"/>
    </font>
    <font>
      <b/>
      <i/>
      <u/>
      <sz val="20"/>
      <color rgb="FFFF0000"/>
      <name val="Calibri"/>
      <family val="2"/>
      <scheme val="minor"/>
    </font>
    <font>
      <sz val="20"/>
      <color rgb="FF3F3F76"/>
      <name val="Calibri"/>
      <family val="2"/>
      <scheme val="minor"/>
    </font>
    <font>
      <b/>
      <sz val="20"/>
      <color rgb="FFFA7D00"/>
      <name val="Calibri"/>
      <family val="2"/>
      <scheme val="minor"/>
    </font>
    <font>
      <sz val="16"/>
      <color theme="1"/>
      <name val="Calibri"/>
      <family val="2"/>
      <scheme val="minor"/>
    </font>
    <font>
      <sz val="14"/>
      <color theme="0"/>
      <name val="Calibri"/>
      <family val="2"/>
      <scheme val="minor"/>
    </font>
    <font>
      <u/>
      <sz val="16"/>
      <color theme="1"/>
      <name val="Calibri"/>
      <family val="2"/>
      <scheme val="minor"/>
    </font>
    <font>
      <b/>
      <u/>
      <sz val="16"/>
      <color theme="1"/>
      <name val="Calibri"/>
      <family val="2"/>
      <scheme val="minor"/>
    </font>
    <font>
      <sz val="18"/>
      <color theme="1"/>
      <name val="Calibri"/>
      <family val="2"/>
      <scheme val="minor"/>
    </font>
    <font>
      <b/>
      <u/>
      <sz val="20"/>
      <color theme="1"/>
      <name val="Calibri"/>
      <family val="2"/>
      <scheme val="minor"/>
    </font>
    <font>
      <vertAlign val="superscript"/>
      <sz val="18"/>
      <color theme="1"/>
      <name val="Calibri"/>
      <family val="2"/>
      <scheme val="minor"/>
    </font>
    <font>
      <b/>
      <sz val="22"/>
      <color theme="1"/>
      <name val="Calibri"/>
      <family val="2"/>
      <scheme val="minor"/>
    </font>
    <font>
      <b/>
      <sz val="20"/>
      <color theme="1"/>
      <name val="Calibri"/>
      <family val="2"/>
      <scheme val="minor"/>
    </font>
    <font>
      <u/>
      <sz val="20"/>
      <color rgb="FF3F3F76"/>
      <name val="Calibri (Cuerpo)"/>
    </font>
    <font>
      <sz val="20"/>
      <color theme="4" tint="-0.499984740745262"/>
      <name val="Calibri"/>
      <family val="2"/>
      <scheme val="minor"/>
    </font>
    <font>
      <vertAlign val="superscript"/>
      <sz val="20"/>
      <color theme="4" tint="-0.499984740745262"/>
      <name val="Calibri (Cuerpo)"/>
    </font>
    <font>
      <b/>
      <u/>
      <sz val="20"/>
      <color rgb="FFFA7D00"/>
      <name val="Calibri (Cuerpo)"/>
    </font>
    <font>
      <vertAlign val="superscript"/>
      <sz val="20"/>
      <color rgb="FF3F3F76"/>
      <name val="Calibri (Cuerpo)"/>
    </font>
    <font>
      <u/>
      <sz val="20"/>
      <color rgb="FF3F3F76"/>
      <name val="Calibri"/>
      <family val="2"/>
      <scheme val="minor"/>
    </font>
    <font>
      <b/>
      <sz val="16"/>
      <color theme="1"/>
      <name val="Calibri"/>
      <family val="2"/>
      <scheme val="minor"/>
    </font>
    <font>
      <b/>
      <u/>
      <sz val="22"/>
      <color rgb="FFFA7D00"/>
      <name val="Calibri"/>
      <family val="2"/>
      <scheme val="minor"/>
    </font>
    <font>
      <b/>
      <sz val="22"/>
      <color theme="0"/>
      <name val="Calibri"/>
      <family val="2"/>
      <scheme val="minor"/>
    </font>
    <font>
      <b/>
      <u/>
      <sz val="20"/>
      <color rgb="FF3F3F76"/>
      <name val="Calibri"/>
      <family val="2"/>
      <scheme val="minor"/>
    </font>
    <font>
      <sz val="20"/>
      <color rgb="FF3E3E76"/>
      <name val="Calibri"/>
      <family val="2"/>
      <scheme val="minor"/>
    </font>
    <font>
      <b/>
      <sz val="20"/>
      <color rgb="FF3E3E76"/>
      <name val="Calibri"/>
      <family val="2"/>
      <scheme val="minor"/>
    </font>
    <font>
      <b/>
      <sz val="20"/>
      <color rgb="FF006100"/>
      <name val="Calibri"/>
      <family val="2"/>
      <scheme val="minor"/>
    </font>
    <font>
      <sz val="22"/>
      <color theme="0"/>
      <name val="Calibri"/>
      <family val="2"/>
      <scheme val="minor"/>
    </font>
    <font>
      <sz val="22"/>
      <color rgb="FF006100"/>
      <name val="Calibri"/>
      <family val="2"/>
      <scheme val="minor"/>
    </font>
    <font>
      <b/>
      <sz val="24"/>
      <color rgb="FFFA7D00"/>
      <name val="Calibri"/>
      <family val="2"/>
      <scheme val="minor"/>
    </font>
    <font>
      <b/>
      <u/>
      <sz val="24"/>
      <color rgb="FFFA7D00"/>
      <name val="Calibri"/>
      <family val="2"/>
      <scheme val="minor"/>
    </font>
    <font>
      <b/>
      <u/>
      <sz val="24"/>
      <color rgb="FFFA7D00"/>
      <name val="Calibri (Cuerpo)"/>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0"/>
        <bgColor indexed="64"/>
      </patternFill>
    </fill>
    <fill>
      <patternFill patternType="solid">
        <fgColor theme="4"/>
        <bgColor indexed="64"/>
      </patternFill>
    </fill>
    <fill>
      <patternFill patternType="solid">
        <fgColor rgb="FFFFCC99"/>
        <bgColor rgb="FF000000"/>
      </patternFill>
    </fill>
    <fill>
      <patternFill patternType="solid">
        <fgColor rgb="FFFFCC99"/>
        <bgColor indexed="64"/>
      </patternFill>
    </fill>
    <fill>
      <patternFill patternType="solid">
        <fgColor rgb="FF386AC4"/>
        <bgColor indexed="64"/>
      </patternFill>
    </fill>
    <fill>
      <patternFill patternType="solid">
        <fgColor rgb="FFC6EFCE"/>
        <bgColor indexed="64"/>
      </patternFill>
    </fill>
    <fill>
      <patternFill patternType="solid">
        <fgColor rgb="FF406EBD"/>
        <bgColor indexed="64"/>
      </patternFill>
    </fill>
    <fill>
      <patternFill patternType="solid">
        <fgColor rgb="FFC5EECD"/>
        <bgColor indexed="64"/>
      </patternFill>
    </fill>
  </fills>
  <borders count="80">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style="thin">
        <color rgb="FF7F7F7F"/>
      </right>
      <top style="thin">
        <color rgb="FF7F7F7F"/>
      </top>
      <bottom style="thin">
        <color rgb="FF7F7F7F"/>
      </bottom>
      <diagonal/>
    </border>
    <border>
      <left/>
      <right style="thin">
        <color rgb="FF7F7F7F"/>
      </right>
      <top style="thin">
        <color rgb="FF7F7F7F"/>
      </top>
      <bottom/>
      <diagonal/>
    </border>
    <border>
      <left style="thick">
        <color auto="1"/>
      </left>
      <right style="thin">
        <color rgb="FF7F7F7F"/>
      </right>
      <top style="thin">
        <color rgb="FF7F7F7F"/>
      </top>
      <bottom style="thin">
        <color rgb="FF7F7F7F"/>
      </bottom>
      <diagonal/>
    </border>
    <border>
      <left style="thin">
        <color rgb="FF7F7F7F"/>
      </left>
      <right style="thick">
        <color auto="1"/>
      </right>
      <top style="thin">
        <color rgb="FF7F7F7F"/>
      </top>
      <bottom style="thin">
        <color rgb="FF7F7F7F"/>
      </bottom>
      <diagonal/>
    </border>
    <border>
      <left style="thick">
        <color auto="1"/>
      </left>
      <right style="thin">
        <color rgb="FF7F7F7F"/>
      </right>
      <top style="thin">
        <color rgb="FF7F7F7F"/>
      </top>
      <bottom style="thick">
        <color auto="1"/>
      </bottom>
      <diagonal/>
    </border>
    <border>
      <left style="thin">
        <color rgb="FF7F7F7F"/>
      </left>
      <right style="thin">
        <color rgb="FF7F7F7F"/>
      </right>
      <top style="thin">
        <color rgb="FF7F7F7F"/>
      </top>
      <bottom style="thick">
        <color auto="1"/>
      </bottom>
      <diagonal/>
    </border>
    <border>
      <left style="thin">
        <color rgb="FF7F7F7F"/>
      </left>
      <right style="thick">
        <color auto="1"/>
      </right>
      <top style="thin">
        <color rgb="FF7F7F7F"/>
      </top>
      <bottom style="thick">
        <color auto="1"/>
      </bottom>
      <diagonal/>
    </border>
    <border>
      <left style="thin">
        <color rgb="FF7F7F7F"/>
      </left>
      <right style="thin">
        <color rgb="FF7F7F7F"/>
      </right>
      <top/>
      <bottom style="thin">
        <color rgb="FF7F7F7F"/>
      </bottom>
      <diagonal/>
    </border>
    <border>
      <left style="thin">
        <color rgb="FF7F7F7F"/>
      </left>
      <right style="thick">
        <color auto="1"/>
      </right>
      <top/>
      <bottom style="thin">
        <color rgb="FF7F7F7F"/>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rgb="FF7F7F7F"/>
      </right>
      <top/>
      <bottom style="thin">
        <color rgb="FF7F7F7F"/>
      </bottom>
      <diagonal/>
    </border>
    <border>
      <left style="thin">
        <color rgb="FF7F7F7F"/>
      </left>
      <right style="thin">
        <color rgb="FF7F7F7F"/>
      </right>
      <top style="thick">
        <color auto="1"/>
      </top>
      <bottom style="thin">
        <color rgb="FF7F7F7F"/>
      </bottom>
      <diagonal/>
    </border>
    <border>
      <left style="thin">
        <color rgb="FF7F7F7F"/>
      </left>
      <right style="thick">
        <color auto="1"/>
      </right>
      <top style="thick">
        <color auto="1"/>
      </top>
      <bottom style="thin">
        <color rgb="FF7F7F7F"/>
      </bottom>
      <diagonal/>
    </border>
    <border>
      <left/>
      <right style="thin">
        <color rgb="FF7F7F7F"/>
      </right>
      <top style="thick">
        <color auto="1"/>
      </top>
      <bottom style="thin">
        <color rgb="FF7F7F7F"/>
      </bottom>
      <diagonal/>
    </border>
    <border>
      <left style="thick">
        <color auto="1"/>
      </left>
      <right style="thick">
        <color auto="1"/>
      </right>
      <top style="thick">
        <color auto="1"/>
      </top>
      <bottom style="thin">
        <color rgb="FF7F7F7F"/>
      </bottom>
      <diagonal/>
    </border>
    <border>
      <left style="thick">
        <color auto="1"/>
      </left>
      <right style="thick">
        <color auto="1"/>
      </right>
      <top style="thin">
        <color rgb="FF7F7F7F"/>
      </top>
      <bottom style="thin">
        <color rgb="FF7F7F7F"/>
      </bottom>
      <diagonal/>
    </border>
    <border>
      <left style="thick">
        <color auto="1"/>
      </left>
      <right style="thick">
        <color auto="1"/>
      </right>
      <top style="thin">
        <color rgb="FF7F7F7F"/>
      </top>
      <bottom style="thick">
        <color auto="1"/>
      </bottom>
      <diagonal/>
    </border>
    <border>
      <left style="thin">
        <color rgb="FF7F7F7F"/>
      </left>
      <right style="thin">
        <color rgb="FF7F7F7F"/>
      </right>
      <top style="thin">
        <color rgb="FF7F7F7F"/>
      </top>
      <bottom/>
      <diagonal/>
    </border>
    <border>
      <left style="thin">
        <color rgb="FF7F7F7F"/>
      </left>
      <right style="thick">
        <color auto="1"/>
      </right>
      <top style="thin">
        <color rgb="FF7F7F7F"/>
      </top>
      <bottom/>
      <diagonal/>
    </border>
    <border>
      <left style="thick">
        <color auto="1"/>
      </left>
      <right/>
      <top style="thick">
        <color auto="1"/>
      </top>
      <bottom style="thin">
        <color rgb="FF7F7F7F"/>
      </bottom>
      <diagonal/>
    </border>
    <border>
      <left/>
      <right/>
      <top style="thick">
        <color auto="1"/>
      </top>
      <bottom style="thin">
        <color rgb="FF7F7F7F"/>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rgb="FF3F3F3F"/>
      </left>
      <right style="thin">
        <color rgb="FF3F3F3F"/>
      </right>
      <top style="thin">
        <color rgb="FF3F3F3F"/>
      </top>
      <bottom style="thin">
        <color rgb="FF3F3F3F"/>
      </bottom>
      <diagonal/>
    </border>
    <border>
      <left/>
      <right/>
      <top/>
      <bottom style="thick">
        <color rgb="FF3F3F3F"/>
      </bottom>
      <diagonal/>
    </border>
    <border>
      <left/>
      <right/>
      <top/>
      <bottom style="thick">
        <color auto="1"/>
      </bottom>
      <diagonal/>
    </border>
    <border>
      <left style="thick">
        <color auto="1"/>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style="thick">
        <color auto="1"/>
      </left>
      <right/>
      <top/>
      <bottom/>
      <diagonal/>
    </border>
    <border>
      <left/>
      <right style="thick">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style="thin">
        <color rgb="FF7F7F7F"/>
      </top>
      <bottom/>
      <diagonal/>
    </border>
    <border>
      <left style="thick">
        <color auto="1"/>
      </left>
      <right style="thin">
        <color indexed="64"/>
      </right>
      <top/>
      <bottom style="thick">
        <color auto="1"/>
      </bottom>
      <diagonal/>
    </border>
    <border>
      <left/>
      <right/>
      <top style="thin">
        <color rgb="FF7F7F7F"/>
      </top>
      <bottom style="thin">
        <color indexed="64"/>
      </bottom>
      <diagonal/>
    </border>
    <border>
      <left style="thick">
        <color auto="1"/>
      </left>
      <right style="thin">
        <color indexed="64"/>
      </right>
      <top style="thin">
        <color rgb="FF7F7F7F"/>
      </top>
      <bottom style="thin">
        <color indexed="64"/>
      </bottom>
      <diagonal/>
    </border>
    <border>
      <left style="thick">
        <color auto="1"/>
      </left>
      <right style="thin">
        <color indexed="64"/>
      </right>
      <top style="thin">
        <color indexed="64"/>
      </top>
      <bottom style="thin">
        <color indexed="64"/>
      </bottom>
      <diagonal/>
    </border>
    <border>
      <left style="thin">
        <color rgb="FF7F7F7F"/>
      </left>
      <right/>
      <top style="thin">
        <color rgb="FF7F7F7F"/>
      </top>
      <bottom/>
      <diagonal/>
    </border>
    <border>
      <left style="thin">
        <color auto="1"/>
      </left>
      <right style="thin">
        <color auto="1"/>
      </right>
      <top style="thin">
        <color rgb="FF7F7F7F"/>
      </top>
      <bottom style="thin">
        <color auto="1"/>
      </bottom>
      <diagonal/>
    </border>
    <border>
      <left/>
      <right style="thin">
        <color rgb="FF7F7F7F"/>
      </right>
      <top/>
      <bottom style="thick">
        <color indexed="64"/>
      </bottom>
      <diagonal/>
    </border>
    <border>
      <left style="thin">
        <color rgb="FF7F7F7F"/>
      </left>
      <right/>
      <top style="thin">
        <color rgb="FF7F7F7F"/>
      </top>
      <bottom style="thin">
        <color rgb="FF7F7F7F"/>
      </bottom>
      <diagonal/>
    </border>
    <border>
      <left/>
      <right style="thick">
        <color auto="1"/>
      </right>
      <top style="thick">
        <color auto="1"/>
      </top>
      <bottom style="thin">
        <color rgb="FF7F7F7F"/>
      </bottom>
      <diagonal/>
    </border>
    <border>
      <left style="thick">
        <color theme="1"/>
      </left>
      <right/>
      <top style="thick">
        <color auto="1"/>
      </top>
      <bottom style="thin">
        <color rgb="FF7F7F7F"/>
      </bottom>
      <diagonal/>
    </border>
    <border>
      <left style="thin">
        <color rgb="FF7F7F7F"/>
      </left>
      <right/>
      <top/>
      <bottom/>
      <diagonal/>
    </border>
    <border>
      <left/>
      <right style="thin">
        <color rgb="FF7F7F7F"/>
      </right>
      <top/>
      <bottom/>
      <diagonal/>
    </border>
    <border>
      <left style="thick">
        <color theme="1"/>
      </left>
      <right style="thin">
        <color rgb="FF7F7F7F"/>
      </right>
      <top style="thin">
        <color rgb="FF7F7F7F"/>
      </top>
      <bottom style="thin">
        <color rgb="FF7F7F7F"/>
      </bottom>
      <diagonal/>
    </border>
    <border>
      <left style="thick">
        <color theme="1"/>
      </left>
      <right style="thin">
        <color rgb="FF7F7F7F"/>
      </right>
      <top style="thin">
        <color rgb="FF7F7F7F"/>
      </top>
      <bottom/>
      <diagonal/>
    </border>
    <border>
      <left style="thin">
        <color rgb="FF7F7F7F"/>
      </left>
      <right/>
      <top/>
      <bottom style="thin">
        <color rgb="FF7F7F7F"/>
      </bottom>
      <diagonal/>
    </border>
    <border>
      <left style="thick">
        <color theme="1"/>
      </left>
      <right style="thick">
        <color theme="1"/>
      </right>
      <top/>
      <bottom style="thick">
        <color auto="1"/>
      </bottom>
      <diagonal/>
    </border>
    <border>
      <left style="thick">
        <color theme="1"/>
      </left>
      <right style="thin">
        <color rgb="FF7F7F7F"/>
      </right>
      <top/>
      <bottom style="thick">
        <color auto="1"/>
      </bottom>
      <diagonal/>
    </border>
    <border>
      <left style="thin">
        <color rgb="FF7F7F7F"/>
      </left>
      <right/>
      <top style="thin">
        <color rgb="FF7F7F7F"/>
      </top>
      <bottom style="thick">
        <color theme="1"/>
      </bottom>
      <diagonal/>
    </border>
    <border>
      <left style="thick">
        <color theme="1"/>
      </left>
      <right style="thick">
        <color theme="1"/>
      </right>
      <top style="thick">
        <color indexed="64"/>
      </top>
      <bottom/>
      <diagonal/>
    </border>
    <border>
      <left style="thick">
        <color theme="1"/>
      </left>
      <right/>
      <top style="thin">
        <color rgb="FF7F7F7F"/>
      </top>
      <bottom style="thin">
        <color rgb="FF7F7F7F"/>
      </bottom>
      <diagonal/>
    </border>
    <border>
      <left/>
      <right/>
      <top style="thin">
        <color rgb="FF7F7F7F"/>
      </top>
      <bottom style="thin">
        <color rgb="FF7F7F7F"/>
      </bottom>
      <diagonal/>
    </border>
    <border>
      <left style="thick">
        <color auto="1"/>
      </left>
      <right style="thin">
        <color rgb="FF656565"/>
      </right>
      <top style="thick">
        <color auto="1"/>
      </top>
      <bottom style="thin">
        <color rgb="FF656565"/>
      </bottom>
      <diagonal/>
    </border>
    <border>
      <left style="thin">
        <color rgb="FF656565"/>
      </left>
      <right style="thin">
        <color rgb="FF656565"/>
      </right>
      <top style="thick">
        <color auto="1"/>
      </top>
      <bottom style="thin">
        <color rgb="FF656565"/>
      </bottom>
      <diagonal/>
    </border>
    <border>
      <left style="thick">
        <color auto="1"/>
      </left>
      <right style="thin">
        <color rgb="FF656565"/>
      </right>
      <top style="thin">
        <color rgb="FF656565"/>
      </top>
      <bottom style="thin">
        <color rgb="FF656565"/>
      </bottom>
      <diagonal/>
    </border>
    <border>
      <left style="thin">
        <color rgb="FF656565"/>
      </left>
      <right style="thin">
        <color rgb="FF656565"/>
      </right>
      <top style="thin">
        <color rgb="FF656565"/>
      </top>
      <bottom style="thin">
        <color rgb="FF656565"/>
      </bottom>
      <diagonal/>
    </border>
    <border>
      <left style="thick">
        <color auto="1"/>
      </left>
      <right style="thin">
        <color rgb="FF656565"/>
      </right>
      <top style="thin">
        <color rgb="FF656565"/>
      </top>
      <bottom style="thick">
        <color indexed="64"/>
      </bottom>
      <diagonal/>
    </border>
    <border>
      <left style="thin">
        <color rgb="FF656565"/>
      </left>
      <right style="thin">
        <color rgb="FF656565"/>
      </right>
      <top style="thin">
        <color rgb="FF656565"/>
      </top>
      <bottom style="thick">
        <color indexed="64"/>
      </bottom>
      <diagonal/>
    </border>
    <border>
      <left style="thin">
        <color rgb="FF656565"/>
      </left>
      <right style="thick">
        <color auto="1"/>
      </right>
      <top style="thick">
        <color auto="1"/>
      </top>
      <bottom style="thin">
        <color rgb="FF656565"/>
      </bottom>
      <diagonal/>
    </border>
    <border>
      <left style="thin">
        <color rgb="FF656565"/>
      </left>
      <right style="thick">
        <color auto="1"/>
      </right>
      <top style="thin">
        <color rgb="FF656565"/>
      </top>
      <bottom style="thin">
        <color rgb="FF656565"/>
      </bottom>
      <diagonal/>
    </border>
    <border>
      <left style="thin">
        <color rgb="FF656565"/>
      </left>
      <right style="thick">
        <color auto="1"/>
      </right>
      <top style="thin">
        <color rgb="FF656565"/>
      </top>
      <bottom style="thick">
        <color indexed="64"/>
      </bottom>
      <diagonal/>
    </border>
    <border>
      <left style="thin">
        <color rgb="FF656565"/>
      </left>
      <right style="thin">
        <color rgb="FF656565"/>
      </right>
      <top style="thin">
        <color rgb="FF656565"/>
      </top>
      <bottom style="thick">
        <color theme="1"/>
      </bottom>
      <diagonal/>
    </border>
    <border>
      <left style="thin">
        <color rgb="FFB2B2B2"/>
      </left>
      <right style="thin">
        <color rgb="FFB2B2B2"/>
      </right>
      <top/>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1" applyNumberFormat="0" applyAlignment="0" applyProtection="0"/>
    <xf numFmtId="0" fontId="5" fillId="5" borderId="1" applyNumberFormat="0" applyAlignment="0" applyProtection="0"/>
    <xf numFmtId="0" fontId="1" fillId="6" borderId="2" applyNumberFormat="0" applyFont="0" applyAlignment="0" applyProtection="0"/>
    <xf numFmtId="0" fontId="6" fillId="7" borderId="0" applyNumberFormat="0" applyBorder="0" applyAlignment="0" applyProtection="0"/>
    <xf numFmtId="0" fontId="13" fillId="5" borderId="35" applyNumberFormat="0" applyAlignment="0" applyProtection="0"/>
    <xf numFmtId="43" fontId="1" fillId="0" borderId="0" applyFont="0" applyFill="0" applyBorder="0" applyAlignment="0" applyProtection="0"/>
    <xf numFmtId="9" fontId="1" fillId="0" borderId="0" applyFont="0" applyFill="0" applyBorder="0" applyAlignment="0" applyProtection="0"/>
  </cellStyleXfs>
  <cellXfs count="268">
    <xf numFmtId="0" fontId="0" fillId="0" borderId="0" xfId="0"/>
    <xf numFmtId="0" fontId="0" fillId="0" borderId="0" xfId="0" applyAlignment="1">
      <alignment horizontal="center"/>
    </xf>
    <xf numFmtId="0" fontId="15" fillId="0" borderId="0" xfId="0" applyFont="1"/>
    <xf numFmtId="0" fontId="16" fillId="8" borderId="44" xfId="7" applyFont="1" applyFill="1" applyBorder="1" applyAlignment="1">
      <alignment horizontal="left" vertical="center"/>
    </xf>
    <xf numFmtId="0" fontId="16" fillId="8" borderId="0" xfId="7" applyFont="1" applyFill="1" applyBorder="1" applyAlignment="1">
      <alignment horizontal="left" vertical="center"/>
    </xf>
    <xf numFmtId="0" fontId="11" fillId="3" borderId="13" xfId="2" applyFont="1" applyBorder="1" applyAlignment="1">
      <alignment horizontal="center"/>
    </xf>
    <xf numFmtId="0" fontId="11" fillId="3" borderId="14" xfId="2" applyFont="1" applyBorder="1" applyAlignment="1">
      <alignment horizontal="center"/>
    </xf>
    <xf numFmtId="0" fontId="17" fillId="0" borderId="0" xfId="0" applyFont="1"/>
    <xf numFmtId="0" fontId="19" fillId="8" borderId="44" xfId="7" applyFont="1" applyFill="1" applyBorder="1" applyAlignment="1">
      <alignment horizontal="left" vertical="center"/>
    </xf>
    <xf numFmtId="0" fontId="14" fillId="0" borderId="0" xfId="7" applyFont="1" applyFill="1" applyBorder="1" applyAlignment="1">
      <alignment horizontal="left" vertical="center"/>
    </xf>
    <xf numFmtId="0" fontId="10" fillId="5" borderId="13" xfId="4" applyFont="1" applyBorder="1" applyAlignment="1">
      <alignment horizontal="center"/>
    </xf>
    <xf numFmtId="0" fontId="10" fillId="5" borderId="14" xfId="4" applyFont="1" applyBorder="1" applyAlignment="1">
      <alignment horizontal="center"/>
    </xf>
    <xf numFmtId="0" fontId="20" fillId="5" borderId="38" xfId="7" applyFont="1" applyBorder="1" applyAlignment="1">
      <alignment horizontal="left" vertical="center"/>
    </xf>
    <xf numFmtId="0" fontId="20" fillId="5" borderId="44" xfId="7" applyFont="1" applyBorder="1" applyAlignment="1">
      <alignment horizontal="left" vertical="center"/>
    </xf>
    <xf numFmtId="0" fontId="20" fillId="5" borderId="41" xfId="7" applyFont="1" applyBorder="1" applyAlignment="1">
      <alignment horizontal="left" vertical="center"/>
    </xf>
    <xf numFmtId="0" fontId="20" fillId="5" borderId="37" xfId="7" applyFont="1" applyBorder="1" applyAlignment="1">
      <alignment horizontal="left" vertical="center"/>
    </xf>
    <xf numFmtId="0" fontId="20" fillId="5" borderId="42" xfId="7" applyFont="1" applyBorder="1" applyAlignment="1">
      <alignment horizontal="left" vertical="center"/>
    </xf>
    <xf numFmtId="0" fontId="21" fillId="7" borderId="43" xfId="6" applyFont="1" applyBorder="1" applyAlignment="1">
      <alignment horizontal="center" vertical="center"/>
    </xf>
    <xf numFmtId="0" fontId="21" fillId="7" borderId="0" xfId="6" applyFont="1" applyBorder="1" applyAlignment="1">
      <alignment horizontal="center" vertical="center"/>
    </xf>
    <xf numFmtId="167" fontId="22" fillId="2" borderId="0" xfId="8" applyNumberFormat="1" applyFont="1" applyFill="1" applyBorder="1" applyAlignment="1">
      <alignment vertical="center"/>
    </xf>
    <xf numFmtId="11" fontId="21" fillId="7" borderId="0" xfId="6" applyNumberFormat="1" applyFont="1" applyBorder="1" applyAlignment="1">
      <alignment horizontal="center" vertical="center"/>
    </xf>
    <xf numFmtId="170" fontId="22" fillId="2" borderId="0" xfId="1" applyNumberFormat="1" applyFont="1" applyBorder="1" applyAlignment="1">
      <alignment vertical="center"/>
    </xf>
    <xf numFmtId="169" fontId="21" fillId="7" borderId="0" xfId="6" applyNumberFormat="1" applyFont="1" applyBorder="1" applyAlignment="1">
      <alignment horizontal="center" vertical="center"/>
    </xf>
    <xf numFmtId="0" fontId="23" fillId="4" borderId="20" xfId="3" applyFont="1" applyBorder="1" applyAlignment="1">
      <alignment horizontal="center" vertical="center"/>
    </xf>
    <xf numFmtId="0" fontId="23" fillId="4" borderId="21" xfId="3" applyFont="1" applyBorder="1" applyAlignment="1">
      <alignment horizontal="center" vertical="center"/>
    </xf>
    <xf numFmtId="0" fontId="24" fillId="3" borderId="12" xfId="2" applyFont="1" applyBorder="1" applyAlignment="1">
      <alignment horizontal="center"/>
    </xf>
    <xf numFmtId="0" fontId="23" fillId="4" borderId="20" xfId="3" applyFont="1" applyBorder="1" applyAlignment="1">
      <alignment horizontal="center" vertical="center" wrapText="1"/>
    </xf>
    <xf numFmtId="0" fontId="23" fillId="4" borderId="12" xfId="3" applyFont="1" applyBorder="1" applyAlignment="1">
      <alignment horizontal="center"/>
    </xf>
    <xf numFmtId="0" fontId="23" fillId="4" borderId="13" xfId="3" applyFont="1" applyBorder="1" applyAlignment="1">
      <alignment horizontal="center"/>
    </xf>
    <xf numFmtId="0" fontId="23" fillId="4" borderId="14" xfId="3" applyFont="1" applyBorder="1" applyAlignment="1">
      <alignment horizontal="center"/>
    </xf>
    <xf numFmtId="0" fontId="26" fillId="4" borderId="15" xfId="3" applyFont="1" applyBorder="1" applyAlignment="1">
      <alignment horizontal="center" vertical="center"/>
    </xf>
    <xf numFmtId="0" fontId="26" fillId="4" borderId="10" xfId="3" applyFont="1" applyBorder="1"/>
    <xf numFmtId="0" fontId="26" fillId="4" borderId="11" xfId="3" applyFont="1" applyBorder="1"/>
    <xf numFmtId="0" fontId="26" fillId="4" borderId="3" xfId="3" applyFont="1" applyBorder="1" applyAlignment="1">
      <alignment horizontal="center" vertical="center"/>
    </xf>
    <xf numFmtId="0" fontId="26" fillId="4" borderId="1" xfId="3" applyFont="1" applyBorder="1"/>
    <xf numFmtId="0" fontId="21" fillId="7" borderId="1" xfId="6" applyFont="1" applyBorder="1" applyAlignment="1">
      <alignment horizontal="center" vertical="center"/>
    </xf>
    <xf numFmtId="0" fontId="26" fillId="4" borderId="6" xfId="3" applyFont="1" applyBorder="1" applyAlignment="1">
      <alignment horizontal="left" vertical="center"/>
    </xf>
    <xf numFmtId="0" fontId="26" fillId="4" borderId="6" xfId="3" applyFont="1" applyBorder="1"/>
    <xf numFmtId="0" fontId="26" fillId="4" borderId="4" xfId="3" applyFont="1" applyBorder="1" applyAlignment="1">
      <alignment horizontal="center" vertical="center"/>
    </xf>
    <xf numFmtId="0" fontId="26" fillId="4" borderId="22" xfId="3" applyFont="1" applyBorder="1"/>
    <xf numFmtId="0" fontId="26" fillId="4" borderId="23" xfId="3" applyFont="1" applyBorder="1"/>
    <xf numFmtId="0" fontId="23" fillId="4" borderId="24" xfId="3" applyFont="1" applyBorder="1" applyAlignment="1">
      <alignment horizontal="center" vertical="center"/>
    </xf>
    <xf numFmtId="0" fontId="23" fillId="4" borderId="25" xfId="3" applyFont="1" applyBorder="1" applyAlignment="1">
      <alignment horizontal="center" vertical="center"/>
    </xf>
    <xf numFmtId="0" fontId="23" fillId="4" borderId="18" xfId="3" applyFont="1" applyBorder="1" applyAlignment="1">
      <alignment horizontal="center" vertical="center"/>
    </xf>
    <xf numFmtId="0" fontId="26" fillId="4" borderId="16" xfId="3" applyFont="1" applyBorder="1"/>
    <xf numFmtId="0" fontId="26" fillId="4" borderId="17" xfId="3" applyFont="1" applyBorder="1"/>
    <xf numFmtId="0" fontId="26" fillId="4" borderId="5" xfId="3" applyFont="1" applyBorder="1" applyAlignment="1">
      <alignment horizontal="center" vertical="center"/>
    </xf>
    <xf numFmtId="0" fontId="26" fillId="4" borderId="1" xfId="3" applyFont="1" applyBorder="1" applyAlignment="1">
      <alignment horizontal="center" vertical="center"/>
    </xf>
    <xf numFmtId="0" fontId="26" fillId="4" borderId="8" xfId="3" applyFont="1" applyBorder="1"/>
    <xf numFmtId="0" fontId="26" fillId="4" borderId="9" xfId="3" applyFont="1" applyBorder="1"/>
    <xf numFmtId="11" fontId="21" fillId="7" borderId="1" xfId="6" applyNumberFormat="1" applyFont="1" applyBorder="1" applyAlignment="1">
      <alignment horizontal="center" vertical="center"/>
    </xf>
    <xf numFmtId="0" fontId="28" fillId="0" borderId="0" xfId="0" applyFont="1"/>
    <xf numFmtId="0" fontId="18" fillId="0" borderId="0" xfId="0" applyFont="1" applyAlignment="1">
      <alignment horizontal="left" vertical="center"/>
    </xf>
    <xf numFmtId="0" fontId="28" fillId="0" borderId="38" xfId="0" applyFont="1" applyBorder="1" applyAlignment="1">
      <alignment horizontal="center"/>
    </xf>
    <xf numFmtId="0" fontId="28" fillId="0" borderId="41" xfId="0" applyFont="1" applyBorder="1" applyAlignment="1">
      <alignment horizontal="center"/>
    </xf>
    <xf numFmtId="11" fontId="29" fillId="7" borderId="43" xfId="6" applyNumberFormat="1" applyFont="1" applyBorder="1" applyAlignment="1">
      <alignment horizontal="center" vertical="center"/>
    </xf>
    <xf numFmtId="11" fontId="29" fillId="7" borderId="37" xfId="6" applyNumberFormat="1" applyFont="1" applyBorder="1" applyAlignment="1">
      <alignment horizontal="center" vertical="center"/>
    </xf>
    <xf numFmtId="0" fontId="30" fillId="0" borderId="32" xfId="0" applyFont="1" applyBorder="1" applyAlignment="1">
      <alignment horizontal="center" vertical="center"/>
    </xf>
    <xf numFmtId="0" fontId="28" fillId="0" borderId="12" xfId="0" applyFont="1" applyBorder="1" applyAlignment="1">
      <alignment horizontal="center" wrapText="1"/>
    </xf>
    <xf numFmtId="0" fontId="28" fillId="0" borderId="37" xfId="0" applyFont="1" applyBorder="1" applyAlignment="1">
      <alignment horizontal="center" wrapText="1"/>
    </xf>
    <xf numFmtId="0" fontId="28" fillId="0" borderId="13" xfId="0" applyFont="1" applyBorder="1" applyAlignment="1">
      <alignment horizontal="center" wrapText="1"/>
    </xf>
    <xf numFmtId="0" fontId="28" fillId="0" borderId="13" xfId="0" applyFont="1" applyFill="1" applyBorder="1" applyAlignment="1">
      <alignment horizontal="center" wrapText="1"/>
    </xf>
    <xf numFmtId="0" fontId="28" fillId="0" borderId="14" xfId="0" applyFont="1" applyFill="1" applyBorder="1" applyAlignment="1">
      <alignment horizontal="center" wrapText="1"/>
    </xf>
    <xf numFmtId="0" fontId="28" fillId="0" borderId="33" xfId="0" applyFont="1" applyBorder="1" applyAlignment="1">
      <alignment horizontal="center"/>
    </xf>
    <xf numFmtId="167" fontId="28" fillId="0" borderId="0" xfId="8" applyNumberFormat="1" applyFont="1" applyBorder="1" applyAlignment="1">
      <alignment horizontal="center"/>
    </xf>
    <xf numFmtId="164" fontId="28" fillId="0" borderId="0" xfId="0" applyNumberFormat="1" applyFont="1" applyBorder="1" applyAlignment="1">
      <alignment horizontal="center"/>
    </xf>
    <xf numFmtId="166" fontId="28" fillId="0" borderId="0" xfId="0" applyNumberFormat="1" applyFont="1" applyBorder="1" applyAlignment="1">
      <alignment horizontal="center"/>
    </xf>
    <xf numFmtId="169" fontId="28" fillId="0" borderId="43" xfId="0" applyNumberFormat="1" applyFont="1" applyBorder="1"/>
    <xf numFmtId="169" fontId="28" fillId="0" borderId="39" xfId="0" applyNumberFormat="1" applyFont="1" applyBorder="1"/>
    <xf numFmtId="169" fontId="28" fillId="0" borderId="0" xfId="0" applyNumberFormat="1" applyFont="1" applyBorder="1"/>
    <xf numFmtId="169" fontId="28" fillId="0" borderId="40" xfId="0" applyNumberFormat="1" applyFont="1" applyBorder="1"/>
    <xf numFmtId="0" fontId="28" fillId="0" borderId="34" xfId="0" applyFont="1" applyBorder="1" applyAlignment="1">
      <alignment horizontal="center"/>
    </xf>
    <xf numFmtId="167" fontId="28" fillId="0" borderId="37" xfId="8" applyNumberFormat="1" applyFont="1" applyBorder="1" applyAlignment="1">
      <alignment horizontal="center"/>
    </xf>
    <xf numFmtId="164" fontId="28" fillId="0" borderId="37" xfId="0" applyNumberFormat="1" applyFont="1" applyBorder="1" applyAlignment="1">
      <alignment horizontal="center"/>
    </xf>
    <xf numFmtId="166" fontId="28" fillId="0" borderId="37" xfId="0" applyNumberFormat="1" applyFont="1" applyBorder="1" applyAlignment="1">
      <alignment horizontal="center"/>
    </xf>
    <xf numFmtId="169" fontId="28" fillId="0" borderId="37" xfId="0" applyNumberFormat="1" applyFont="1" applyBorder="1"/>
    <xf numFmtId="169" fontId="28" fillId="0" borderId="42" xfId="0" applyNumberFormat="1" applyFont="1" applyBorder="1"/>
    <xf numFmtId="0" fontId="31" fillId="0" borderId="32" xfId="0" applyFont="1" applyBorder="1" applyAlignment="1">
      <alignment horizont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33" fillId="0" borderId="32" xfId="0" applyFont="1" applyBorder="1" applyAlignment="1">
      <alignment horizontal="center"/>
    </xf>
    <xf numFmtId="0" fontId="8" fillId="0" borderId="33" xfId="0" applyFont="1" applyBorder="1" applyAlignment="1">
      <alignment horizontal="center"/>
    </xf>
    <xf numFmtId="4" fontId="8" fillId="0" borderId="30" xfId="8" applyNumberFormat="1" applyFont="1" applyBorder="1" applyAlignment="1">
      <alignment horizontal="center"/>
    </xf>
    <xf numFmtId="4" fontId="8" fillId="0" borderId="45" xfId="8" applyNumberFormat="1" applyFont="1" applyBorder="1" applyAlignment="1">
      <alignment horizontal="center"/>
    </xf>
    <xf numFmtId="4" fontId="8" fillId="0" borderId="26" xfId="8" applyNumberFormat="1" applyFont="1" applyBorder="1" applyAlignment="1">
      <alignment horizontal="center"/>
    </xf>
    <xf numFmtId="4" fontId="8" fillId="0" borderId="27" xfId="8" applyNumberFormat="1" applyFont="1" applyBorder="1" applyAlignment="1">
      <alignment horizontal="center"/>
    </xf>
    <xf numFmtId="0" fontId="8" fillId="0" borderId="34" xfId="0" applyFont="1" applyBorder="1" applyAlignment="1">
      <alignment horizontal="center"/>
    </xf>
    <xf numFmtId="165" fontId="8" fillId="0" borderId="31" xfId="0" applyNumberFormat="1" applyFont="1" applyBorder="1" applyAlignment="1">
      <alignment horizontal="center"/>
    </xf>
    <xf numFmtId="165" fontId="8" fillId="0" borderId="28" xfId="0" applyNumberFormat="1" applyFont="1" applyBorder="1" applyAlignment="1">
      <alignment horizontal="center"/>
    </xf>
    <xf numFmtId="165" fontId="8" fillId="0" borderId="29" xfId="0" applyNumberFormat="1" applyFont="1" applyBorder="1" applyAlignment="1">
      <alignment horizontal="center"/>
    </xf>
    <xf numFmtId="0" fontId="32" fillId="6" borderId="2" xfId="5" applyFont="1"/>
    <xf numFmtId="0" fontId="35" fillId="0" borderId="0" xfId="0" applyFont="1"/>
    <xf numFmtId="0" fontId="0" fillId="0" borderId="0" xfId="0" applyAlignment="1">
      <alignment horizontal="left"/>
    </xf>
    <xf numFmtId="39" fontId="8" fillId="0" borderId="0" xfId="8" applyNumberFormat="1" applyFont="1" applyBorder="1" applyAlignment="1">
      <alignment horizontal="center"/>
    </xf>
    <xf numFmtId="39" fontId="8" fillId="0" borderId="40" xfId="8" applyNumberFormat="1" applyFont="1" applyBorder="1" applyAlignment="1">
      <alignment horizontal="center"/>
    </xf>
    <xf numFmtId="168" fontId="8" fillId="0" borderId="37" xfId="8" applyNumberFormat="1" applyFont="1" applyBorder="1" applyAlignment="1">
      <alignment horizontal="center"/>
    </xf>
    <xf numFmtId="168" fontId="8" fillId="0" borderId="42" xfId="8" applyNumberFormat="1" applyFont="1" applyBorder="1" applyAlignment="1">
      <alignment horizontal="center"/>
    </xf>
    <xf numFmtId="0" fontId="32" fillId="0" borderId="0" xfId="0" applyFont="1"/>
    <xf numFmtId="0" fontId="8" fillId="0" borderId="0" xfId="0" applyFont="1"/>
    <xf numFmtId="0" fontId="0" fillId="0" borderId="0" xfId="0" applyFont="1"/>
    <xf numFmtId="0" fontId="26" fillId="4" borderId="47" xfId="3" applyFont="1" applyBorder="1" applyAlignment="1">
      <alignment vertical="center"/>
    </xf>
    <xf numFmtId="0" fontId="38" fillId="4" borderId="49" xfId="3" applyFont="1" applyBorder="1" applyAlignment="1">
      <alignment vertical="center"/>
    </xf>
    <xf numFmtId="0" fontId="26" fillId="4" borderId="50" xfId="3" applyFont="1" applyBorder="1" applyAlignment="1">
      <alignment horizontal="center" vertical="center"/>
    </xf>
    <xf numFmtId="0" fontId="26" fillId="4" borderId="51" xfId="3" applyFont="1" applyBorder="1" applyAlignment="1">
      <alignment horizontal="center" vertical="center"/>
    </xf>
    <xf numFmtId="0" fontId="26" fillId="4" borderId="51" xfId="3" applyFont="1" applyBorder="1" applyAlignment="1">
      <alignment horizontal="center"/>
    </xf>
    <xf numFmtId="0" fontId="26" fillId="4" borderId="3" xfId="3" applyFont="1" applyBorder="1"/>
    <xf numFmtId="11" fontId="21" fillId="7" borderId="22" xfId="6" applyNumberFormat="1" applyFont="1" applyBorder="1" applyAlignment="1">
      <alignment horizontal="center" vertical="center"/>
    </xf>
    <xf numFmtId="0" fontId="18" fillId="0" borderId="0" xfId="0" applyFont="1" applyAlignment="1">
      <alignment horizontal="center" vertical="center" wrapText="1"/>
    </xf>
    <xf numFmtId="0" fontId="0" fillId="0" borderId="0" xfId="0" applyAlignment="1">
      <alignment horizontal="center" vertical="center"/>
    </xf>
    <xf numFmtId="0" fontId="26" fillId="4" borderId="8" xfId="3" applyFont="1" applyBorder="1" applyAlignment="1">
      <alignment horizontal="center" vertical="center"/>
    </xf>
    <xf numFmtId="0" fontId="38" fillId="11" borderId="37" xfId="3" applyFont="1" applyFill="1" applyBorder="1" applyAlignment="1">
      <alignment vertical="center"/>
    </xf>
    <xf numFmtId="0" fontId="38" fillId="11" borderId="48" xfId="3" applyFont="1" applyFill="1" applyBorder="1" applyAlignment="1">
      <alignment horizontal="center" vertical="center"/>
    </xf>
    <xf numFmtId="0" fontId="11" fillId="3" borderId="13" xfId="2" applyFont="1" applyBorder="1" applyAlignment="1">
      <alignment horizontal="center" vertical="center"/>
    </xf>
    <xf numFmtId="0" fontId="10" fillId="5" borderId="13" xfId="4" applyFont="1" applyBorder="1" applyAlignment="1">
      <alignment horizontal="center" vertical="center"/>
    </xf>
    <xf numFmtId="0" fontId="42" fillId="4" borderId="3" xfId="3" applyFont="1" applyBorder="1" applyAlignment="1">
      <alignment horizontal="center" vertical="center"/>
    </xf>
    <xf numFmtId="0" fontId="42" fillId="4" borderId="18" xfId="3" applyFont="1" applyBorder="1" applyAlignment="1">
      <alignment horizontal="center" vertical="center"/>
    </xf>
    <xf numFmtId="9" fontId="0" fillId="0" borderId="0" xfId="9" applyFont="1"/>
    <xf numFmtId="171" fontId="0" fillId="0" borderId="0" xfId="9" applyNumberFormat="1" applyFont="1"/>
    <xf numFmtId="170" fontId="15" fillId="0" borderId="0" xfId="0" applyNumberFormat="1" applyFont="1"/>
    <xf numFmtId="4" fontId="22" fillId="2" borderId="46" xfId="1" applyNumberFormat="1" applyFont="1" applyBorder="1" applyAlignment="1">
      <alignment vertical="center"/>
    </xf>
    <xf numFmtId="0" fontId="36" fillId="0" borderId="0" xfId="0" applyFont="1" applyBorder="1" applyAlignment="1"/>
    <xf numFmtId="0" fontId="43" fillId="0" borderId="0" xfId="0" applyFont="1" applyBorder="1" applyAlignment="1"/>
    <xf numFmtId="0" fontId="28" fillId="0" borderId="0" xfId="0" applyFont="1" applyBorder="1" applyAlignment="1">
      <alignment horizontal="center" wrapText="1"/>
    </xf>
    <xf numFmtId="2" fontId="28" fillId="0" borderId="0" xfId="0" applyNumberFormat="1" applyFont="1" applyBorder="1" applyAlignment="1">
      <alignment horizontal="center"/>
    </xf>
    <xf numFmtId="169" fontId="28" fillId="0" borderId="0" xfId="0" applyNumberFormat="1" applyFont="1" applyBorder="1" applyAlignment="1">
      <alignment horizontal="center"/>
    </xf>
    <xf numFmtId="0" fontId="45" fillId="12" borderId="32" xfId="0" applyFont="1" applyFill="1" applyBorder="1" applyAlignment="1">
      <alignment horizontal="center" vertical="center"/>
    </xf>
    <xf numFmtId="0" fontId="35" fillId="13" borderId="34" xfId="0" applyFont="1" applyFill="1" applyBorder="1" applyAlignment="1">
      <alignment horizontal="center"/>
    </xf>
    <xf numFmtId="0" fontId="46" fillId="4" borderId="20" xfId="3" applyFont="1" applyBorder="1" applyAlignment="1">
      <alignment horizontal="center" vertical="center" wrapText="1"/>
    </xf>
    <xf numFmtId="0" fontId="46" fillId="4" borderId="19" xfId="3" applyFont="1" applyBorder="1" applyAlignment="1">
      <alignment horizontal="center" vertical="center" wrapText="1"/>
    </xf>
    <xf numFmtId="0" fontId="46" fillId="4" borderId="19" xfId="3" applyFont="1" applyBorder="1" applyAlignment="1">
      <alignment horizontal="center" vertical="center"/>
    </xf>
    <xf numFmtId="0" fontId="46" fillId="4" borderId="20" xfId="3" applyFont="1" applyBorder="1" applyAlignment="1">
      <alignment horizontal="center" vertical="center"/>
    </xf>
    <xf numFmtId="0" fontId="48" fillId="11" borderId="10" xfId="0" applyFont="1" applyFill="1" applyBorder="1" applyAlignment="1">
      <alignment vertical="center"/>
    </xf>
    <xf numFmtId="0" fontId="26" fillId="4" borderId="1" xfId="3" applyFont="1"/>
    <xf numFmtId="0" fontId="26" fillId="4" borderId="60" xfId="3" applyFont="1" applyBorder="1" applyAlignment="1">
      <alignment horizontal="left" vertical="center"/>
    </xf>
    <xf numFmtId="0" fontId="47" fillId="11" borderId="55" xfId="0" applyFont="1" applyFill="1" applyBorder="1" applyAlignment="1">
      <alignment horizontal="center" vertical="center"/>
    </xf>
    <xf numFmtId="0" fontId="26" fillId="4" borderId="1" xfId="3" applyFont="1" applyAlignment="1">
      <alignment horizontal="center"/>
    </xf>
    <xf numFmtId="0" fontId="26" fillId="10" borderId="1" xfId="0" applyFont="1" applyFill="1" applyBorder="1"/>
    <xf numFmtId="0" fontId="47" fillId="11" borderId="52" xfId="0" applyFont="1" applyFill="1" applyBorder="1" applyAlignment="1">
      <alignment horizontal="center" vertical="center"/>
    </xf>
    <xf numFmtId="2" fontId="47" fillId="11" borderId="55" xfId="0" applyNumberFormat="1" applyFont="1" applyFill="1" applyBorder="1" applyAlignment="1">
      <alignment horizontal="center" vertical="center"/>
    </xf>
    <xf numFmtId="0" fontId="38" fillId="4" borderId="62" xfId="3" applyFont="1" applyBorder="1" applyAlignment="1">
      <alignment horizontal="center" vertical="center"/>
    </xf>
    <xf numFmtId="0" fontId="26" fillId="4" borderId="10" xfId="3" applyFont="1" applyBorder="1" applyAlignment="1">
      <alignment horizontal="center" vertical="center"/>
    </xf>
    <xf numFmtId="0" fontId="38" fillId="4" borderId="55" xfId="3" applyFont="1" applyBorder="1" applyAlignment="1">
      <alignment horizontal="left" vertical="center"/>
    </xf>
    <xf numFmtId="0" fontId="26" fillId="4" borderId="1" xfId="3" applyFont="1" applyAlignment="1">
      <alignment horizontal="center" vertical="center"/>
    </xf>
    <xf numFmtId="0" fontId="23" fillId="4" borderId="63" xfId="3" applyFont="1" applyBorder="1" applyAlignment="1">
      <alignment horizontal="center" vertical="center" wrapText="1"/>
    </xf>
    <xf numFmtId="0" fontId="26" fillId="4" borderId="65" xfId="3" applyFont="1" applyBorder="1"/>
    <xf numFmtId="2" fontId="21" fillId="9" borderId="1" xfId="0" applyNumberFormat="1" applyFont="1" applyFill="1" applyBorder="1" applyAlignment="1">
      <alignment horizontal="center" vertical="center"/>
    </xf>
    <xf numFmtId="2" fontId="26" fillId="4" borderId="1" xfId="3" applyNumberFormat="1" applyFont="1"/>
    <xf numFmtId="0" fontId="23" fillId="4" borderId="66" xfId="3" applyFont="1" applyBorder="1" applyAlignment="1">
      <alignment horizontal="center" vertical="center" wrapText="1"/>
    </xf>
    <xf numFmtId="0" fontId="25" fillId="0" borderId="0" xfId="0" applyFont="1" applyBorder="1" applyAlignment="1">
      <alignment horizontal="center"/>
    </xf>
    <xf numFmtId="0" fontId="18" fillId="0" borderId="0" xfId="0" applyFont="1" applyAlignment="1">
      <alignment horizontal="left" vertical="center" wrapText="1"/>
    </xf>
    <xf numFmtId="0" fontId="48" fillId="14" borderId="59" xfId="0" applyFont="1" applyFill="1" applyBorder="1" applyAlignment="1">
      <alignment vertical="center"/>
    </xf>
    <xf numFmtId="0" fontId="23" fillId="10" borderId="15" xfId="0" applyFont="1" applyFill="1" applyBorder="1" applyAlignment="1">
      <alignment horizontal="center" vertical="center"/>
    </xf>
    <xf numFmtId="0" fontId="23" fillId="10" borderId="61" xfId="0" applyFont="1" applyFill="1" applyBorder="1" applyAlignment="1">
      <alignment horizontal="center" vertical="center"/>
    </xf>
    <xf numFmtId="0" fontId="23" fillId="10" borderId="64" xfId="0" applyFont="1" applyFill="1" applyBorder="1" applyAlignment="1">
      <alignment horizontal="center" vertical="center"/>
    </xf>
    <xf numFmtId="0" fontId="23" fillId="4" borderId="60" xfId="3" applyFont="1" applyBorder="1" applyAlignment="1">
      <alignment horizontal="center" vertical="center"/>
    </xf>
    <xf numFmtId="0" fontId="23" fillId="4" borderId="67" xfId="3" applyFont="1" applyBorder="1" applyAlignment="1">
      <alignment horizontal="left" vertical="center"/>
    </xf>
    <xf numFmtId="0" fontId="23" fillId="4" borderId="68" xfId="3" applyFont="1" applyBorder="1" applyAlignment="1">
      <alignment horizontal="left" vertical="center"/>
    </xf>
    <xf numFmtId="0" fontId="23" fillId="4" borderId="3" xfId="3" applyFont="1" applyBorder="1" applyAlignment="1">
      <alignment horizontal="left" vertical="center"/>
    </xf>
    <xf numFmtId="0" fontId="23" fillId="4" borderId="4" xfId="3" applyFont="1" applyBorder="1" applyAlignment="1">
      <alignment horizontal="center" vertical="center"/>
    </xf>
    <xf numFmtId="0" fontId="48" fillId="11" borderId="58" xfId="0" applyFont="1" applyFill="1" applyBorder="1" applyAlignment="1">
      <alignment horizontal="center" vertical="center" wrapText="1"/>
    </xf>
    <xf numFmtId="2" fontId="45" fillId="9" borderId="1" xfId="0" applyNumberFormat="1" applyFont="1" applyFill="1" applyBorder="1" applyAlignment="1">
      <alignment horizontal="left" vertical="center"/>
    </xf>
    <xf numFmtId="0" fontId="50" fillId="7" borderId="10" xfId="6" applyFont="1" applyBorder="1" applyAlignment="1">
      <alignment horizontal="center" vertical="center"/>
    </xf>
    <xf numFmtId="0" fontId="50" fillId="7" borderId="1" xfId="6" applyFont="1" applyBorder="1" applyAlignment="1">
      <alignment horizontal="center" vertical="center"/>
    </xf>
    <xf numFmtId="0" fontId="50" fillId="7" borderId="22" xfId="6" applyFont="1" applyBorder="1" applyAlignment="1">
      <alignment horizontal="center" vertical="center"/>
    </xf>
    <xf numFmtId="0" fontId="50" fillId="7" borderId="7" xfId="6" applyFont="1" applyBorder="1" applyAlignment="1">
      <alignment horizontal="center" vertical="center"/>
    </xf>
    <xf numFmtId="0" fontId="50" fillId="7" borderId="8" xfId="6" applyFont="1" applyBorder="1" applyAlignment="1">
      <alignment horizontal="center" vertical="center"/>
    </xf>
    <xf numFmtId="0" fontId="50" fillId="7" borderId="16" xfId="6" applyFont="1" applyBorder="1" applyAlignment="1">
      <alignment horizontal="center" vertical="center"/>
    </xf>
    <xf numFmtId="0" fontId="50" fillId="9" borderId="53" xfId="0" applyFont="1" applyFill="1" applyBorder="1" applyAlignment="1">
      <alignment horizontal="center"/>
    </xf>
    <xf numFmtId="170" fontId="51" fillId="2" borderId="1" xfId="1" applyNumberFormat="1" applyFont="1" applyBorder="1" applyAlignment="1">
      <alignment horizontal="center"/>
    </xf>
    <xf numFmtId="11" fontId="50" fillId="14" borderId="1" xfId="1" applyNumberFormat="1" applyFont="1" applyFill="1" applyBorder="1" applyAlignment="1">
      <alignment horizontal="center"/>
    </xf>
    <xf numFmtId="0" fontId="50" fillId="14" borderId="8" xfId="3" applyFont="1" applyFill="1" applyBorder="1" applyAlignment="1">
      <alignment horizontal="center"/>
    </xf>
    <xf numFmtId="11" fontId="50" fillId="9" borderId="54" xfId="0" applyNumberFormat="1" applyFont="1" applyFill="1" applyBorder="1" applyAlignment="1">
      <alignment horizontal="center" vertical="center"/>
    </xf>
    <xf numFmtId="2" fontId="50" fillId="9" borderId="1" xfId="0" applyNumberFormat="1" applyFont="1" applyFill="1" applyBorder="1" applyAlignment="1">
      <alignment horizontal="center" vertical="center"/>
    </xf>
    <xf numFmtId="2" fontId="50" fillId="9" borderId="22" xfId="0" applyNumberFormat="1" applyFont="1" applyFill="1" applyBorder="1" applyAlignment="1">
      <alignment horizontal="center" vertical="center"/>
    </xf>
    <xf numFmtId="2" fontId="50" fillId="9" borderId="10" xfId="0" applyNumberFormat="1" applyFont="1" applyFill="1" applyBorder="1" applyAlignment="1">
      <alignment horizontal="center" vertical="center"/>
    </xf>
    <xf numFmtId="0" fontId="52" fillId="5" borderId="12" xfId="4" applyFont="1" applyBorder="1" applyAlignment="1">
      <alignment horizontal="center"/>
    </xf>
    <xf numFmtId="0" fontId="26" fillId="4" borderId="61" xfId="3" applyFont="1" applyBorder="1"/>
    <xf numFmtId="0" fontId="27" fillId="5" borderId="69" xfId="4" applyFont="1" applyBorder="1"/>
    <xf numFmtId="0" fontId="27" fillId="5" borderId="70" xfId="4" applyFont="1" applyBorder="1" applyAlignment="1">
      <alignment horizontal="center" vertical="center"/>
    </xf>
    <xf numFmtId="0" fontId="27" fillId="5" borderId="71" xfId="4" applyFont="1" applyBorder="1"/>
    <xf numFmtId="0" fontId="27" fillId="5" borderId="72" xfId="4" applyFont="1" applyBorder="1" applyAlignment="1">
      <alignment horizontal="center" vertical="center"/>
    </xf>
    <xf numFmtId="0" fontId="53" fillId="5" borderId="71" xfId="4" applyFont="1" applyBorder="1"/>
    <xf numFmtId="0" fontId="44" fillId="5" borderId="71" xfId="4" applyFont="1" applyBorder="1"/>
    <xf numFmtId="0" fontId="44" fillId="5" borderId="73" xfId="4" applyFont="1" applyBorder="1"/>
    <xf numFmtId="0" fontId="27" fillId="5" borderId="74" xfId="4" applyFont="1" applyBorder="1" applyAlignment="1">
      <alignment horizontal="center" vertical="center"/>
    </xf>
    <xf numFmtId="170" fontId="27" fillId="5" borderId="70" xfId="4" applyNumberFormat="1" applyFont="1" applyBorder="1"/>
    <xf numFmtId="170" fontId="27" fillId="5" borderId="72" xfId="4" applyNumberFormat="1" applyFont="1" applyBorder="1"/>
    <xf numFmtId="0" fontId="27" fillId="5" borderId="72" xfId="4" applyFont="1" applyBorder="1"/>
    <xf numFmtId="170" fontId="22" fillId="2" borderId="72" xfId="1" applyNumberFormat="1" applyFont="1" applyBorder="1"/>
    <xf numFmtId="2" fontId="22" fillId="0" borderId="72" xfId="1" applyNumberFormat="1" applyFont="1" applyFill="1" applyBorder="1"/>
    <xf numFmtId="2" fontId="22" fillId="2" borderId="72" xfId="1" applyNumberFormat="1" applyFont="1" applyBorder="1"/>
    <xf numFmtId="0" fontId="27" fillId="5" borderId="74" xfId="4" applyFont="1" applyBorder="1"/>
    <xf numFmtId="0" fontId="0" fillId="0" borderId="0" xfId="0" applyBorder="1"/>
    <xf numFmtId="2" fontId="28" fillId="0" borderId="12" xfId="0" applyNumberFormat="1" applyFont="1" applyBorder="1" applyAlignment="1">
      <alignment horizontal="center" vertical="center"/>
    </xf>
    <xf numFmtId="2" fontId="28" fillId="0" borderId="13" xfId="0" applyNumberFormat="1" applyFont="1" applyBorder="1" applyAlignment="1">
      <alignment horizontal="center" vertical="center"/>
    </xf>
    <xf numFmtId="2" fontId="28" fillId="0" borderId="13" xfId="0" applyNumberFormat="1" applyFont="1" applyBorder="1" applyAlignment="1">
      <alignment horizontal="center" vertical="center" wrapText="1"/>
    </xf>
    <xf numFmtId="2" fontId="28" fillId="0" borderId="14" xfId="0" applyNumberFormat="1" applyFont="1" applyBorder="1" applyAlignment="1">
      <alignment horizontal="center" vertical="center" wrapText="1"/>
    </xf>
    <xf numFmtId="2" fontId="28" fillId="0" borderId="38" xfId="8" applyNumberFormat="1" applyFont="1" applyBorder="1" applyAlignment="1">
      <alignment horizontal="center"/>
    </xf>
    <xf numFmtId="2" fontId="28" fillId="0" borderId="43" xfId="0" applyNumberFormat="1" applyFont="1" applyBorder="1" applyAlignment="1">
      <alignment horizontal="center"/>
    </xf>
    <xf numFmtId="2" fontId="28" fillId="0" borderId="43" xfId="8" applyNumberFormat="1" applyFont="1" applyBorder="1" applyAlignment="1">
      <alignment horizontal="center"/>
    </xf>
    <xf numFmtId="2" fontId="28" fillId="0" borderId="39" xfId="0" applyNumberFormat="1" applyFont="1" applyBorder="1" applyAlignment="1">
      <alignment horizontal="center"/>
    </xf>
    <xf numFmtId="2" fontId="28" fillId="0" borderId="44" xfId="8" applyNumberFormat="1" applyFont="1" applyBorder="1" applyAlignment="1">
      <alignment horizontal="center"/>
    </xf>
    <xf numFmtId="2" fontId="28" fillId="0" borderId="0" xfId="8" applyNumberFormat="1" applyFont="1" applyBorder="1" applyAlignment="1">
      <alignment horizontal="center"/>
    </xf>
    <xf numFmtId="2" fontId="28" fillId="0" borderId="40" xfId="0" applyNumberFormat="1" applyFont="1" applyBorder="1" applyAlignment="1">
      <alignment horizontal="center"/>
    </xf>
    <xf numFmtId="2" fontId="28" fillId="0" borderId="41" xfId="8" applyNumberFormat="1" applyFont="1" applyBorder="1" applyAlignment="1">
      <alignment horizontal="center"/>
    </xf>
    <xf numFmtId="2" fontId="28" fillId="0" borderId="37" xfId="0" applyNumberFormat="1" applyFont="1" applyBorder="1" applyAlignment="1">
      <alignment horizontal="center"/>
    </xf>
    <xf numFmtId="2" fontId="28" fillId="0" borderId="37" xfId="8" applyNumberFormat="1" applyFont="1" applyBorder="1" applyAlignment="1">
      <alignment horizontal="center"/>
    </xf>
    <xf numFmtId="2" fontId="28" fillId="0" borderId="42" xfId="0" applyNumberFormat="1" applyFont="1" applyBorder="1" applyAlignment="1">
      <alignment horizontal="center"/>
    </xf>
    <xf numFmtId="0" fontId="53" fillId="5" borderId="69" xfId="4" applyFont="1" applyBorder="1" applyAlignment="1">
      <alignment horizontal="center"/>
    </xf>
    <xf numFmtId="0" fontId="53" fillId="5" borderId="70" xfId="4" applyFont="1" applyBorder="1" applyAlignment="1">
      <alignment horizontal="center"/>
    </xf>
    <xf numFmtId="0" fontId="53" fillId="5" borderId="70" xfId="4" applyFont="1" applyBorder="1" applyAlignment="1">
      <alignment horizontal="center" vertical="center"/>
    </xf>
    <xf numFmtId="0" fontId="54" fillId="5" borderId="70" xfId="4" applyFont="1" applyBorder="1" applyAlignment="1">
      <alignment horizontal="center" vertical="center"/>
    </xf>
    <xf numFmtId="0" fontId="27" fillId="5" borderId="75" xfId="4" applyFont="1" applyBorder="1"/>
    <xf numFmtId="0" fontId="27" fillId="5" borderId="76" xfId="4" applyFont="1" applyBorder="1"/>
    <xf numFmtId="0" fontId="27" fillId="5" borderId="71" xfId="4" applyFont="1" applyBorder="1" applyAlignment="1">
      <alignment horizontal="left" vertical="center" wrapText="1"/>
    </xf>
    <xf numFmtId="164" fontId="49" fillId="15" borderId="72" xfId="1" applyNumberFormat="1" applyFont="1" applyFill="1" applyBorder="1"/>
    <xf numFmtId="0" fontId="27" fillId="5" borderId="73" xfId="4" applyFont="1" applyBorder="1" applyAlignment="1">
      <alignment horizontal="left" vertical="center" wrapText="1"/>
    </xf>
    <xf numFmtId="0" fontId="27" fillId="5" borderId="78" xfId="4" applyFont="1" applyBorder="1" applyAlignment="1">
      <alignment horizontal="center" vertical="center"/>
    </xf>
    <xf numFmtId="164" fontId="49" fillId="15" borderId="74" xfId="1" applyNumberFormat="1" applyFont="1" applyFill="1" applyBorder="1"/>
    <xf numFmtId="0" fontId="27" fillId="5" borderId="77" xfId="4" applyFont="1" applyBorder="1"/>
    <xf numFmtId="0" fontId="25" fillId="0" borderId="0" xfId="0" applyFont="1" applyBorder="1" applyAlignment="1">
      <alignment horizontal="center"/>
    </xf>
    <xf numFmtId="0" fontId="23" fillId="4" borderId="60" xfId="3" applyFont="1" applyBorder="1" applyAlignment="1">
      <alignment horizontal="left" vertical="center"/>
    </xf>
    <xf numFmtId="0" fontId="23" fillId="0" borderId="4" xfId="3" applyFont="1" applyFill="1" applyBorder="1" applyAlignment="1">
      <alignment horizontal="center" vertical="center"/>
    </xf>
    <xf numFmtId="0" fontId="23" fillId="0" borderId="60" xfId="3" applyFont="1" applyFill="1" applyBorder="1" applyAlignment="1">
      <alignment horizontal="center" vertical="center"/>
    </xf>
    <xf numFmtId="0" fontId="23" fillId="0" borderId="60" xfId="3" applyFont="1" applyFill="1" applyBorder="1" applyAlignment="1">
      <alignment horizontal="left" vertical="center"/>
    </xf>
    <xf numFmtId="0" fontId="23" fillId="0" borderId="67" xfId="3" applyFont="1" applyFill="1" applyBorder="1" applyAlignment="1">
      <alignment horizontal="left" vertical="center"/>
    </xf>
    <xf numFmtId="0" fontId="32" fillId="6" borderId="79" xfId="5" applyFont="1" applyBorder="1"/>
    <xf numFmtId="172" fontId="22" fillId="2" borderId="72" xfId="1" applyNumberFormat="1" applyFont="1" applyBorder="1"/>
    <xf numFmtId="164" fontId="27" fillId="5" borderId="72" xfId="4" applyNumberFormat="1" applyFont="1" applyBorder="1"/>
    <xf numFmtId="172" fontId="22" fillId="0" borderId="72" xfId="1" applyNumberFormat="1" applyFont="1" applyFill="1" applyBorder="1"/>
    <xf numFmtId="11" fontId="0" fillId="0" borderId="0" xfId="0" applyNumberFormat="1"/>
    <xf numFmtId="11" fontId="49" fillId="15" borderId="72" xfId="1" applyNumberFormat="1" applyFont="1" applyFill="1" applyBorder="1"/>
    <xf numFmtId="0" fontId="32" fillId="6" borderId="2" xfId="5" applyFont="1" applyAlignment="1">
      <alignment horizontal="center"/>
    </xf>
    <xf numFmtId="0" fontId="20" fillId="5" borderId="0" xfId="7" applyFont="1" applyBorder="1" applyAlignment="1">
      <alignment horizontal="left" vertical="center"/>
    </xf>
    <xf numFmtId="0" fontId="20" fillId="5" borderId="40" xfId="7" applyFont="1" applyBorder="1" applyAlignment="1">
      <alignment horizontal="left" vertical="center"/>
    </xf>
    <xf numFmtId="0" fontId="7" fillId="0" borderId="37" xfId="0" applyFont="1" applyBorder="1" applyAlignment="1">
      <alignment horizontal="left"/>
    </xf>
    <xf numFmtId="0" fontId="7" fillId="0" borderId="42" xfId="0" applyFont="1" applyBorder="1" applyAlignment="1">
      <alignment horizontal="left"/>
    </xf>
    <xf numFmtId="0" fontId="25" fillId="0" borderId="36" xfId="0" applyFont="1" applyBorder="1" applyAlignment="1">
      <alignment horizontal="center"/>
    </xf>
    <xf numFmtId="0" fontId="25" fillId="0" borderId="0" xfId="0" applyFont="1" applyBorder="1" applyAlignment="1">
      <alignment horizontal="center"/>
    </xf>
    <xf numFmtId="0" fontId="20" fillId="5" borderId="12" xfId="7" applyFont="1" applyBorder="1" applyAlignment="1">
      <alignment horizontal="left" vertical="center"/>
    </xf>
    <xf numFmtId="0" fontId="20" fillId="5" borderId="14" xfId="7" applyFont="1" applyBorder="1" applyAlignment="1">
      <alignment horizontal="left" vertical="center"/>
    </xf>
    <xf numFmtId="0" fontId="25" fillId="0" borderId="37" xfId="0" applyFont="1" applyBorder="1" applyAlignment="1">
      <alignment horizontal="center"/>
    </xf>
    <xf numFmtId="0" fontId="43" fillId="0" borderId="38" xfId="0" applyFont="1" applyBorder="1" applyAlignment="1">
      <alignment horizontal="center" vertical="center" wrapText="1"/>
    </xf>
    <xf numFmtId="0" fontId="43" fillId="0" borderId="43"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41"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42" xfId="0" applyFont="1" applyBorder="1" applyAlignment="1">
      <alignment horizontal="center" vertical="center" wrapText="1"/>
    </xf>
    <xf numFmtId="0" fontId="7" fillId="0" borderId="43" xfId="0" applyFont="1" applyBorder="1" applyAlignment="1">
      <alignment horizontal="left"/>
    </xf>
    <xf numFmtId="0" fontId="7" fillId="0" borderId="39" xfId="0" applyFont="1" applyBorder="1" applyAlignment="1">
      <alignment horizontal="left"/>
    </xf>
    <xf numFmtId="0" fontId="27" fillId="5" borderId="72" xfId="4" applyFont="1" applyBorder="1" applyAlignment="1">
      <alignment horizontal="center"/>
    </xf>
    <xf numFmtId="0" fontId="27" fillId="5" borderId="76" xfId="4" applyFont="1" applyBorder="1" applyAlignment="1">
      <alignment horizontal="center"/>
    </xf>
    <xf numFmtId="0" fontId="20" fillId="5" borderId="43" xfId="7" applyFont="1" applyBorder="1" applyAlignment="1">
      <alignment horizontal="left" vertical="center"/>
    </xf>
    <xf numFmtId="0" fontId="20" fillId="5" borderId="39" xfId="7" applyFont="1" applyBorder="1" applyAlignment="1">
      <alignment horizontal="left" vertic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27" fillId="5" borderId="74" xfId="4" applyFont="1" applyBorder="1" applyAlignment="1">
      <alignment horizontal="center"/>
    </xf>
    <xf numFmtId="0" fontId="27" fillId="5" borderId="77" xfId="4" applyFont="1" applyBorder="1" applyAlignment="1">
      <alignment horizontal="center"/>
    </xf>
    <xf numFmtId="0" fontId="18" fillId="0" borderId="0" xfId="0" applyFont="1" applyAlignment="1">
      <alignment horizontal="left" vertical="center" wrapText="1"/>
    </xf>
    <xf numFmtId="0" fontId="23" fillId="4" borderId="57" xfId="3" applyFont="1" applyBorder="1" applyAlignment="1">
      <alignment horizontal="center" vertical="center"/>
    </xf>
    <xf numFmtId="0" fontId="23" fillId="4" borderId="25" xfId="3" applyFont="1" applyBorder="1" applyAlignment="1">
      <alignment horizontal="center" vertical="center"/>
    </xf>
    <xf numFmtId="0" fontId="23" fillId="4" borderId="56" xfId="3" applyFont="1" applyBorder="1" applyAlignment="1">
      <alignment horizontal="center" vertical="center"/>
    </xf>
    <xf numFmtId="0" fontId="27" fillId="5" borderId="70" xfId="4" applyFont="1" applyBorder="1" applyAlignment="1">
      <alignment horizontal="center"/>
    </xf>
    <xf numFmtId="0" fontId="27" fillId="5" borderId="75" xfId="4" applyFont="1" applyBorder="1" applyAlignment="1">
      <alignment horizontal="center"/>
    </xf>
    <xf numFmtId="0" fontId="45" fillId="0" borderId="0" xfId="0" applyFont="1" applyFill="1" applyBorder="1" applyAlignment="1">
      <alignment horizontal="center" vertical="center"/>
    </xf>
    <xf numFmtId="0" fontId="35" fillId="0" borderId="0" xfId="0" applyFont="1" applyFill="1" applyBorder="1" applyAlignment="1">
      <alignment horizontal="center"/>
    </xf>
  </cellXfs>
  <cellStyles count="10">
    <cellStyle name="Accent1" xfId="6" builtinId="29"/>
    <cellStyle name="Bad" xfId="2" builtinId="27"/>
    <cellStyle name="Calculation" xfId="4" builtinId="22"/>
    <cellStyle name="Comma" xfId="8" builtinId="3"/>
    <cellStyle name="Good" xfId="1" builtinId="26"/>
    <cellStyle name="Input" xfId="3" builtinId="20"/>
    <cellStyle name="Normal" xfId="0" builtinId="0"/>
    <cellStyle name="Note" xfId="5" builtinId="10"/>
    <cellStyle name="Output" xfId="7" builtinId="21"/>
    <cellStyle name="Percent" xfId="9" builtinId="5"/>
  </cellStyles>
  <dxfs count="0"/>
  <tableStyles count="0" defaultTableStyle="TableStyleMedium2" defaultPivotStyle="PivotStyleLight16"/>
  <colors>
    <mruColors>
      <color rgb="FF656565"/>
      <color rgb="FF3F3F76"/>
      <color rgb="FF406EBD"/>
      <color rgb="FFC6EFCE"/>
      <color rgb="FFFFCC9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600" b="0" i="0" u="none" strike="noStrike" kern="1200" spc="0" baseline="0">
                <a:solidFill>
                  <a:schemeClr val="tx1"/>
                </a:solidFill>
                <a:latin typeface="+mn-lt"/>
                <a:ea typeface="+mn-ea"/>
                <a:cs typeface="+mn-cs"/>
              </a:defRPr>
            </a:pPr>
            <a:r>
              <a:rPr lang="en-US" sz="3600" b="1"/>
              <a:t>Leakage - Pond Volume</a:t>
            </a:r>
          </a:p>
        </c:rich>
      </c:tx>
      <c:layout>
        <c:manualLayout>
          <c:xMode val="edge"/>
          <c:yMode val="edge"/>
          <c:x val="0.42930221248043987"/>
          <c:y val="2.2269836212876377E-2"/>
        </c:manualLayout>
      </c:layout>
      <c:overlay val="0"/>
      <c:spPr>
        <a:noFill/>
        <a:ln>
          <a:noFill/>
        </a:ln>
        <a:effectLst/>
      </c:spPr>
      <c:txPr>
        <a:bodyPr rot="0" spcFirstLastPara="1" vertOverflow="ellipsis" vert="horz" wrap="square" anchor="ctr" anchorCtr="1"/>
        <a:lstStyle/>
        <a:p>
          <a:pPr>
            <a:defRPr sz="36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1265143761373282"/>
          <c:y val="0.116067437527665"/>
          <c:w val="0.84121376783585677"/>
          <c:h val="0.67540307507610753"/>
        </c:manualLayout>
      </c:layout>
      <c:scatterChart>
        <c:scatterStyle val="smoothMarker"/>
        <c:varyColors val="0"/>
        <c:ser>
          <c:idx val="0"/>
          <c:order val="0"/>
          <c:tx>
            <c:v>Compacted Soil Liner</c:v>
          </c:tx>
          <c:spPr>
            <a:ln w="25400" cap="rnd">
              <a:solidFill>
                <a:schemeClr val="accent1"/>
              </a:solidFill>
              <a:round/>
            </a:ln>
            <a:effectLst/>
          </c:spPr>
          <c:marker>
            <c:symbol val="circle"/>
            <c:size val="10"/>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Wrinkle!$N$34:$N$38</c:f>
              <c:numCache>
                <c:formatCode>_(* #,##0.0_);_(* \(#,##0.0\);_(* "-"??_);_(@_)</c:formatCode>
                <c:ptCount val="5"/>
                <c:pt idx="0">
                  <c:v>8210693.5572000006</c:v>
                </c:pt>
                <c:pt idx="1">
                  <c:v>15400296.134400001</c:v>
                </c:pt>
                <c:pt idx="2">
                  <c:v>21669794.751600001</c:v>
                </c:pt>
                <c:pt idx="3">
                  <c:v>27120176.428800002</c:v>
                </c:pt>
                <c:pt idx="4">
                  <c:v>31852428.186000001</c:v>
                </c:pt>
              </c:numCache>
            </c:numRef>
          </c:xVal>
          <c:yVal>
            <c:numRef>
              <c:f>Wrinkle!$O$34:$O$38</c:f>
              <c:numCache>
                <c:formatCode>0.0</c:formatCode>
                <c:ptCount val="5"/>
                <c:pt idx="0">
                  <c:v>14572.450017384865</c:v>
                </c:pt>
                <c:pt idx="1">
                  <c:v>39110.374010329288</c:v>
                </c:pt>
                <c:pt idx="2">
                  <c:v>63934.592057334274</c:v>
                </c:pt>
                <c:pt idx="3">
                  <c:v>89014.134849667302</c:v>
                </c:pt>
                <c:pt idx="4">
                  <c:v>114318.03307859585</c:v>
                </c:pt>
              </c:numCache>
            </c:numRef>
          </c:yVal>
          <c:smooth val="1"/>
          <c:extLst>
            <c:ext xmlns:c16="http://schemas.microsoft.com/office/drawing/2014/chart" uri="{C3380CC4-5D6E-409C-BE32-E72D297353CC}">
              <c16:uniqueId val="{00000002-9694-4947-B8EC-767D78E24DB3}"/>
            </c:ext>
          </c:extLst>
        </c:ser>
        <c:ser>
          <c:idx val="1"/>
          <c:order val="1"/>
          <c:tx>
            <c:v>Geomembranes</c:v>
          </c:tx>
          <c:spPr>
            <a:ln w="25400"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Wrinkle!$N$34:$N$38</c:f>
              <c:numCache>
                <c:formatCode>_(* #,##0.0_);_(* \(#,##0.0\);_(* "-"??_);_(@_)</c:formatCode>
                <c:ptCount val="5"/>
                <c:pt idx="0">
                  <c:v>8210693.5572000006</c:v>
                </c:pt>
                <c:pt idx="1">
                  <c:v>15400296.134400001</c:v>
                </c:pt>
                <c:pt idx="2">
                  <c:v>21669794.751600001</c:v>
                </c:pt>
                <c:pt idx="3">
                  <c:v>27120176.428800002</c:v>
                </c:pt>
                <c:pt idx="4">
                  <c:v>31852428.186000001</c:v>
                </c:pt>
              </c:numCache>
            </c:numRef>
          </c:xVal>
          <c:yVal>
            <c:numRef>
              <c:f>Wrinkle!$P$34:$P$38</c:f>
              <c:numCache>
                <c:formatCode>0.000000</c:formatCode>
                <c:ptCount val="5"/>
                <c:pt idx="0">
                  <c:v>6.884622055457415E-2</c:v>
                </c:pt>
                <c:pt idx="1">
                  <c:v>0.18477342052124074</c:v>
                </c:pt>
                <c:pt idx="2">
                  <c:v>0.30205319082205168</c:v>
                </c:pt>
                <c:pt idx="3">
                  <c:v>0.42053921976220765</c:v>
                </c:pt>
                <c:pt idx="4">
                  <c:v>0.54008519564690949</c:v>
                </c:pt>
              </c:numCache>
            </c:numRef>
          </c:yVal>
          <c:smooth val="1"/>
          <c:extLst>
            <c:ext xmlns:c16="http://schemas.microsoft.com/office/drawing/2014/chart" uri="{C3380CC4-5D6E-409C-BE32-E72D297353CC}">
              <c16:uniqueId val="{00000004-9694-4947-B8EC-767D78E24DB3}"/>
            </c:ext>
          </c:extLst>
        </c:ser>
        <c:dLbls>
          <c:dLblPos val="t"/>
          <c:showLegendKey val="0"/>
          <c:showVal val="1"/>
          <c:showCatName val="0"/>
          <c:showSerName val="0"/>
          <c:showPercent val="0"/>
          <c:showBubbleSize val="0"/>
        </c:dLbls>
        <c:axId val="491492432"/>
        <c:axId val="493638384"/>
      </c:scatterChart>
      <c:valAx>
        <c:axId val="491492432"/>
        <c:scaling>
          <c:orientation val="minMax"/>
        </c:scaling>
        <c:delete val="0"/>
        <c:axPos val="b"/>
        <c:majorGridlines>
          <c:spPr>
            <a:ln w="9525" cap="flat" cmpd="sng" algn="ctr">
              <a:solidFill>
                <a:schemeClr val="bg2"/>
              </a:solidFill>
              <a:round/>
            </a:ln>
            <a:effectLst/>
          </c:spPr>
        </c:majorGridlines>
        <c:title>
          <c:tx>
            <c:rich>
              <a:bodyPr rot="0" spcFirstLastPara="1" vertOverflow="ellipsis" vert="horz" wrap="square" anchor="ctr" anchorCtr="1"/>
              <a:lstStyle/>
              <a:p>
                <a:pPr>
                  <a:defRPr sz="3200" b="0" i="0" u="none" strike="noStrike" kern="1200" baseline="0">
                    <a:solidFill>
                      <a:schemeClr val="tx1"/>
                    </a:solidFill>
                    <a:latin typeface="+mn-lt"/>
                    <a:ea typeface="+mn-ea"/>
                    <a:cs typeface="+mn-cs"/>
                  </a:defRPr>
                </a:pPr>
                <a:r>
                  <a:rPr lang="en-US" sz="3200" b="1"/>
                  <a:t>Total Volume of Pond (Gallons)</a:t>
                </a:r>
              </a:p>
            </c:rich>
          </c:tx>
          <c:layout>
            <c:manualLayout>
              <c:xMode val="edge"/>
              <c:yMode val="edge"/>
              <c:x val="0.43508381254877904"/>
              <c:y val="0.86454245223290871"/>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mn-lt"/>
                  <a:ea typeface="+mn-ea"/>
                  <a:cs typeface="+mn-cs"/>
                </a:defRPr>
              </a:pPr>
              <a:endParaRPr lang="en-US"/>
            </a:p>
          </c:txPr>
        </c:title>
        <c:numFmt formatCode="#,##0" sourceLinked="0"/>
        <c:majorTickMark val="in"/>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2800" b="0" i="0" u="none" strike="noStrike" kern="1200" baseline="0">
                <a:solidFill>
                  <a:schemeClr val="tx1"/>
                </a:solidFill>
                <a:latin typeface="+mn-lt"/>
                <a:ea typeface="+mn-ea"/>
                <a:cs typeface="+mn-cs"/>
              </a:defRPr>
            </a:pPr>
            <a:endParaRPr lang="en-US"/>
          </a:p>
        </c:txPr>
        <c:crossAx val="493638384"/>
        <c:crosses val="autoZero"/>
        <c:crossBetween val="midCat"/>
      </c:valAx>
      <c:valAx>
        <c:axId val="493638384"/>
        <c:scaling>
          <c:orientation val="minMax"/>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2800" b="0" i="0" u="none" strike="noStrike" kern="1200" baseline="0">
                    <a:solidFill>
                      <a:schemeClr val="tx1"/>
                    </a:solidFill>
                    <a:latin typeface="+mn-lt"/>
                    <a:ea typeface="+mn-ea"/>
                    <a:cs typeface="+mn-cs"/>
                  </a:defRPr>
                </a:pPr>
                <a:r>
                  <a:rPr lang="en-US" sz="2800" b="1"/>
                  <a:t>Total Leakage (Gallons/Day)</a:t>
                </a:r>
              </a:p>
            </c:rich>
          </c:tx>
          <c:layout>
            <c:manualLayout>
              <c:xMode val="edge"/>
              <c:yMode val="edge"/>
              <c:x val="1.726180306671999E-2"/>
              <c:y val="0.24621366638843983"/>
            </c:manualLayout>
          </c:layout>
          <c:overlay val="0"/>
          <c:spPr>
            <a:noFill/>
            <a:ln>
              <a:noFill/>
            </a:ln>
            <a:effectLst/>
          </c:spPr>
          <c:txPr>
            <a:bodyPr rot="-5400000" spcFirstLastPara="1" vertOverflow="ellipsis" vert="horz" wrap="square" anchor="ctr" anchorCtr="1"/>
            <a:lstStyle/>
            <a:p>
              <a:pPr>
                <a:defRPr sz="2800" b="0" i="0" u="none" strike="noStrike" kern="1200" baseline="0">
                  <a:solidFill>
                    <a:schemeClr val="tx1"/>
                  </a:solidFill>
                  <a:latin typeface="+mn-lt"/>
                  <a:ea typeface="+mn-ea"/>
                  <a:cs typeface="+mn-cs"/>
                </a:defRPr>
              </a:pPr>
              <a:endParaRPr lang="en-US"/>
            </a:p>
          </c:txPr>
        </c:title>
        <c:numFmt formatCode="0"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crossAx val="491492432"/>
        <c:crosses val="autoZero"/>
        <c:crossBetween val="midCat"/>
      </c:valAx>
      <c:spPr>
        <a:noFill/>
        <a:ln w="12700">
          <a:solidFill>
            <a:schemeClr val="tx1"/>
          </a:solidFill>
        </a:ln>
        <a:effectLst/>
      </c:spPr>
    </c:plotArea>
    <c:legend>
      <c:legendPos val="b"/>
      <c:layout>
        <c:manualLayout>
          <c:xMode val="edge"/>
          <c:yMode val="edge"/>
          <c:x val="0.33960114652455897"/>
          <c:y val="0.93414798040936164"/>
          <c:w val="0.42277067745188873"/>
          <c:h val="3.5357264285827673E-2"/>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40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solidFill>
                <a:latin typeface="+mn-lt"/>
                <a:ea typeface="+mn-ea"/>
                <a:cs typeface="+mn-cs"/>
              </a:defRPr>
            </a:pPr>
            <a:r>
              <a:rPr lang="en-US" sz="3200" b="1"/>
              <a:t>Money Lost Per Day - Based on Pond Volume</a:t>
            </a:r>
          </a:p>
        </c:rich>
      </c:tx>
      <c:layout>
        <c:manualLayout>
          <c:xMode val="edge"/>
          <c:yMode val="edge"/>
          <c:x val="0.3482722284821379"/>
          <c:y val="1.4325718330433409E-2"/>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3904940265605514"/>
          <c:y val="0.116067437527665"/>
          <c:w val="0.81565907426060313"/>
          <c:h val="0.66910106117476531"/>
        </c:manualLayout>
      </c:layout>
      <c:scatterChart>
        <c:scatterStyle val="smoothMarker"/>
        <c:varyColors val="0"/>
        <c:ser>
          <c:idx val="0"/>
          <c:order val="0"/>
          <c:tx>
            <c:v>Compacted Soil Liner</c:v>
          </c:tx>
          <c:spPr>
            <a:ln w="19050" cap="rnd">
              <a:solidFill>
                <a:schemeClr val="accent1"/>
              </a:solidFill>
              <a:round/>
            </a:ln>
            <a:effectLst/>
          </c:spPr>
          <c:marker>
            <c:symbol val="circle"/>
            <c:size val="10"/>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Wrinkle!$N$34:$N$38</c:f>
              <c:numCache>
                <c:formatCode>_(* #,##0.0_);_(* \(#,##0.0\);_(* "-"??_);_(@_)</c:formatCode>
                <c:ptCount val="5"/>
                <c:pt idx="0">
                  <c:v>8210693.5572000006</c:v>
                </c:pt>
                <c:pt idx="1">
                  <c:v>15400296.134400001</c:v>
                </c:pt>
                <c:pt idx="2">
                  <c:v>21669794.751600001</c:v>
                </c:pt>
                <c:pt idx="3">
                  <c:v>27120176.428800002</c:v>
                </c:pt>
                <c:pt idx="4">
                  <c:v>31852428.186000001</c:v>
                </c:pt>
              </c:numCache>
            </c:numRef>
          </c:xVal>
          <c:yVal>
            <c:numRef>
              <c:f>Wrinkle!$Q$34:$Q$38</c:f>
              <c:numCache>
                <c:formatCode>"US$"#,##0.00</c:formatCode>
                <c:ptCount val="5"/>
                <c:pt idx="0">
                  <c:v>1118.0301746338714</c:v>
                </c:pt>
                <c:pt idx="1">
                  <c:v>3000.633265689632</c:v>
                </c:pt>
                <c:pt idx="2">
                  <c:v>4905.2014615065073</c:v>
                </c:pt>
                <c:pt idx="3">
                  <c:v>6829.358729117549</c:v>
                </c:pt>
                <c:pt idx="4">
                  <c:v>8770.7290355558107</c:v>
                </c:pt>
              </c:numCache>
            </c:numRef>
          </c:yVal>
          <c:smooth val="1"/>
          <c:extLst>
            <c:ext xmlns:c16="http://schemas.microsoft.com/office/drawing/2014/chart" uri="{C3380CC4-5D6E-409C-BE32-E72D297353CC}">
              <c16:uniqueId val="{00000002-9694-4947-B8EC-767D78E24DB3}"/>
            </c:ext>
          </c:extLst>
        </c:ser>
        <c:ser>
          <c:idx val="1"/>
          <c:order val="1"/>
          <c:tx>
            <c:v>Geomembranes</c:v>
          </c:tx>
          <c:spPr>
            <a:ln w="19050"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Wrinkle!$N$34:$N$38</c:f>
              <c:numCache>
                <c:formatCode>_(* #,##0.0_);_(* \(#,##0.0\);_(* "-"??_);_(@_)</c:formatCode>
                <c:ptCount val="5"/>
                <c:pt idx="0">
                  <c:v>8210693.5572000006</c:v>
                </c:pt>
                <c:pt idx="1">
                  <c:v>15400296.134400001</c:v>
                </c:pt>
                <c:pt idx="2">
                  <c:v>21669794.751600001</c:v>
                </c:pt>
                <c:pt idx="3">
                  <c:v>27120176.428800002</c:v>
                </c:pt>
                <c:pt idx="4">
                  <c:v>31852428.186000001</c:v>
                </c:pt>
              </c:numCache>
            </c:numRef>
          </c:xVal>
          <c:yVal>
            <c:numRef>
              <c:f>Wrinkle!$R$34:$R$38</c:f>
              <c:numCache>
                <c:formatCode>"US$"#,##0.00</c:formatCode>
                <c:ptCount val="5"/>
                <c:pt idx="0">
                  <c:v>5.282032321104903E-3</c:v>
                </c:pt>
                <c:pt idx="1">
                  <c:v>1.4176220152864401E-2</c:v>
                </c:pt>
                <c:pt idx="2">
                  <c:v>2.3174180133101609E-2</c:v>
                </c:pt>
                <c:pt idx="3">
                  <c:v>3.2264686909216765E-2</c:v>
                </c:pt>
                <c:pt idx="4">
                  <c:v>4.1436515128610123E-2</c:v>
                </c:pt>
              </c:numCache>
            </c:numRef>
          </c:yVal>
          <c:smooth val="1"/>
          <c:extLst>
            <c:ext xmlns:c16="http://schemas.microsoft.com/office/drawing/2014/chart" uri="{C3380CC4-5D6E-409C-BE32-E72D297353CC}">
              <c16:uniqueId val="{00000004-9694-4947-B8EC-767D78E24DB3}"/>
            </c:ext>
          </c:extLst>
        </c:ser>
        <c:dLbls>
          <c:dLblPos val="t"/>
          <c:showLegendKey val="0"/>
          <c:showVal val="1"/>
          <c:showCatName val="0"/>
          <c:showSerName val="0"/>
          <c:showPercent val="0"/>
          <c:showBubbleSize val="0"/>
        </c:dLbls>
        <c:axId val="633433680"/>
        <c:axId val="633436800"/>
      </c:scatterChart>
      <c:valAx>
        <c:axId val="633433680"/>
        <c:scaling>
          <c:orientation val="minMax"/>
        </c:scaling>
        <c:delete val="0"/>
        <c:axPos val="b"/>
        <c:majorGridlines>
          <c:spPr>
            <a:ln w="9525" cap="flat" cmpd="sng" algn="ctr">
              <a:solidFill>
                <a:schemeClr val="bg2"/>
              </a:solidFill>
              <a:round/>
            </a:ln>
            <a:effectLst/>
          </c:spPr>
        </c:majorGridlines>
        <c:title>
          <c:tx>
            <c:rich>
              <a:bodyPr rot="0" spcFirstLastPara="1" vertOverflow="ellipsis" vert="horz" wrap="square" anchor="ctr" anchorCtr="1"/>
              <a:lstStyle/>
              <a:p>
                <a:pPr>
                  <a:defRPr sz="3200" b="0" i="0" u="none" strike="noStrike" kern="1200" baseline="0">
                    <a:solidFill>
                      <a:schemeClr val="tx1"/>
                    </a:solidFill>
                    <a:latin typeface="+mn-lt"/>
                    <a:ea typeface="+mn-ea"/>
                    <a:cs typeface="+mn-cs"/>
                  </a:defRPr>
                </a:pPr>
                <a:r>
                  <a:rPr lang="en-US" sz="3200" b="1"/>
                  <a:t>Total Volume of Pond (Gallons)</a:t>
                </a:r>
              </a:p>
            </c:rich>
          </c:tx>
          <c:layout>
            <c:manualLayout>
              <c:xMode val="edge"/>
              <c:yMode val="edge"/>
              <c:x val="0.41626308708686377"/>
              <c:y val="0.87714749003826775"/>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mn-lt"/>
                  <a:ea typeface="+mn-ea"/>
                  <a:cs typeface="+mn-cs"/>
                </a:defRPr>
              </a:pPr>
              <a:endParaRPr lang="en-US"/>
            </a:p>
          </c:txPr>
        </c:title>
        <c:numFmt formatCode="#,##0" sourceLinked="0"/>
        <c:majorTickMark val="in"/>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2800" b="0" i="0" u="none" strike="noStrike" kern="1200" baseline="0">
                <a:solidFill>
                  <a:schemeClr val="tx1"/>
                </a:solidFill>
                <a:latin typeface="+mn-lt"/>
                <a:ea typeface="+mn-ea"/>
                <a:cs typeface="+mn-cs"/>
              </a:defRPr>
            </a:pPr>
            <a:endParaRPr lang="en-US"/>
          </a:p>
        </c:txPr>
        <c:crossAx val="633436800"/>
        <c:crosses val="autoZero"/>
        <c:crossBetween val="midCat"/>
      </c:valAx>
      <c:valAx>
        <c:axId val="633436800"/>
        <c:scaling>
          <c:orientation val="minMax"/>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2800" b="0" i="0" u="none" strike="noStrike" kern="1200" baseline="0">
                    <a:solidFill>
                      <a:schemeClr val="tx1"/>
                    </a:solidFill>
                    <a:latin typeface="+mn-lt"/>
                    <a:ea typeface="+mn-ea"/>
                    <a:cs typeface="+mn-cs"/>
                  </a:defRPr>
                </a:pPr>
                <a:r>
                  <a:rPr lang="en-US" sz="2800" b="1"/>
                  <a:t>Money Loss (US Dollar/Day)</a:t>
                </a:r>
              </a:p>
            </c:rich>
          </c:tx>
          <c:layout>
            <c:manualLayout>
              <c:xMode val="edge"/>
              <c:yMode val="edge"/>
              <c:x val="2.213461502340559E-2"/>
              <c:y val="0.21650852916045085"/>
            </c:manualLayout>
          </c:layout>
          <c:overlay val="0"/>
          <c:spPr>
            <a:noFill/>
            <a:ln>
              <a:noFill/>
            </a:ln>
            <a:effectLst/>
          </c:spPr>
          <c:txPr>
            <a:bodyPr rot="-5400000" spcFirstLastPara="1" vertOverflow="ellipsis" vert="horz" wrap="square" anchor="ctr" anchorCtr="1"/>
            <a:lstStyle/>
            <a:p>
              <a:pPr>
                <a:defRPr sz="2800" b="0" i="0" u="none" strike="noStrike" kern="1200" baseline="0">
                  <a:solidFill>
                    <a:schemeClr val="tx1"/>
                  </a:solidFill>
                  <a:latin typeface="+mn-lt"/>
                  <a:ea typeface="+mn-ea"/>
                  <a:cs typeface="+mn-cs"/>
                </a:defRPr>
              </a:pPr>
              <a:endParaRPr lang="en-US"/>
            </a:p>
          </c:txPr>
        </c:title>
        <c:numFmt formatCode="&quot;$&quot;#,##0"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crossAx val="633433680"/>
        <c:crosses val="autoZero"/>
        <c:crossBetween val="midCat"/>
      </c:valAx>
      <c:spPr>
        <a:noFill/>
        <a:ln w="12700">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400">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80" b="0" i="0" u="none" strike="noStrike" kern="1200" spc="0" baseline="0">
                <a:solidFill>
                  <a:schemeClr val="tx1"/>
                </a:solidFill>
                <a:latin typeface="+mn-lt"/>
                <a:ea typeface="+mn-ea"/>
                <a:cs typeface="+mn-cs"/>
              </a:defRPr>
            </a:pPr>
            <a:r>
              <a:rPr lang="en-US" sz="3600" b="1"/>
              <a:t>Leakage Per Day</a:t>
            </a:r>
            <a:r>
              <a:rPr lang="en-US" sz="3600" b="1" baseline="0"/>
              <a:t> for different </a:t>
            </a:r>
            <a:r>
              <a:rPr lang="en-US" sz="3600" b="1"/>
              <a:t>Geomembrane</a:t>
            </a:r>
          </a:p>
        </c:rich>
      </c:tx>
      <c:layout>
        <c:manualLayout>
          <c:xMode val="edge"/>
          <c:yMode val="edge"/>
          <c:x val="0.37219893984675784"/>
          <c:y val="3.7959843841219088E-2"/>
        </c:manualLayout>
      </c:layout>
      <c:overlay val="0"/>
      <c:spPr>
        <a:noFill/>
        <a:ln>
          <a:noFill/>
        </a:ln>
        <a:effectLst/>
      </c:spPr>
      <c:txPr>
        <a:bodyPr rot="0" spcFirstLastPara="1" vertOverflow="ellipsis" vert="horz" wrap="square" anchor="ctr" anchorCtr="1"/>
        <a:lstStyle/>
        <a:p>
          <a:pPr>
            <a:defRPr sz="288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9.4849439315042999E-2"/>
          <c:y val="0.116067437527665"/>
          <c:w val="0.86023526937918604"/>
          <c:h val="0.67769650935264303"/>
        </c:manualLayout>
      </c:layout>
      <c:scatterChart>
        <c:scatterStyle val="smoothMarker"/>
        <c:varyColors val="0"/>
        <c:ser>
          <c:idx val="2"/>
          <c:order val="0"/>
          <c:tx>
            <c:strRef>
              <c:f>Wrinkle!$W$33</c:f>
              <c:strCache>
                <c:ptCount val="1"/>
                <c:pt idx="0">
                  <c:v>HDPE</c:v>
                </c:pt>
              </c:strCache>
            </c:strRef>
          </c:tx>
          <c:spPr>
            <a:ln w="38100" cap="rnd">
              <a:solidFill>
                <a:schemeClr val="tx1">
                  <a:lumMod val="50000"/>
                  <a:lumOff val="50000"/>
                </a:schemeClr>
              </a:solidFill>
              <a:round/>
            </a:ln>
            <a:effectLst/>
          </c:spPr>
          <c:marker>
            <c:symbol val="circle"/>
            <c:size val="10"/>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Wrinkle!$N$34:$N$38</c:f>
              <c:numCache>
                <c:formatCode>_(* #,##0.0_);_(* \(#,##0.0\);_(* "-"??_);_(@_)</c:formatCode>
                <c:ptCount val="5"/>
                <c:pt idx="0">
                  <c:v>8210693.5572000006</c:v>
                </c:pt>
                <c:pt idx="1">
                  <c:v>15400296.134400001</c:v>
                </c:pt>
                <c:pt idx="2">
                  <c:v>21669794.751600001</c:v>
                </c:pt>
                <c:pt idx="3">
                  <c:v>27120176.428800002</c:v>
                </c:pt>
                <c:pt idx="4">
                  <c:v>31852428.186000001</c:v>
                </c:pt>
              </c:numCache>
            </c:numRef>
          </c:xVal>
          <c:yVal>
            <c:numRef>
              <c:f>Wrinkle!$W$34:$W$38</c:f>
              <c:numCache>
                <c:formatCode>0.00</c:formatCode>
                <c:ptCount val="5"/>
                <c:pt idx="0">
                  <c:v>21.977279270371039</c:v>
                </c:pt>
                <c:pt idx="1">
                  <c:v>21.977718102353062</c:v>
                </c:pt>
                <c:pt idx="2">
                  <c:v>21.978162054368358</c:v>
                </c:pt>
                <c:pt idx="3">
                  <c:v>21.978610572567167</c:v>
                </c:pt>
                <c:pt idx="4">
                  <c:v>21.97906310309974</c:v>
                </c:pt>
              </c:numCache>
            </c:numRef>
          </c:yVal>
          <c:smooth val="1"/>
          <c:extLst>
            <c:ext xmlns:c16="http://schemas.microsoft.com/office/drawing/2014/chart" uri="{C3380CC4-5D6E-409C-BE32-E72D297353CC}">
              <c16:uniqueId val="{00000000-9CF1-B24B-8B35-0E4D93355097}"/>
            </c:ext>
          </c:extLst>
        </c:ser>
        <c:ser>
          <c:idx val="3"/>
          <c:order val="1"/>
          <c:tx>
            <c:strRef>
              <c:f>Wrinkle!$X$33</c:f>
              <c:strCache>
                <c:ptCount val="1"/>
                <c:pt idx="0">
                  <c:v>LLDPE</c:v>
                </c:pt>
              </c:strCache>
            </c:strRef>
          </c:tx>
          <c:spPr>
            <a:ln w="38100" cap="rnd">
              <a:solidFill>
                <a:schemeClr val="accent4"/>
              </a:solidFill>
              <a:round/>
            </a:ln>
            <a:effectLst/>
          </c:spPr>
          <c:marker>
            <c:symbol val="circle"/>
            <c:size val="10"/>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Wrinkle!$N$34:$N$38</c:f>
              <c:numCache>
                <c:formatCode>_(* #,##0.0_);_(* \(#,##0.0\);_(* "-"??_);_(@_)</c:formatCode>
                <c:ptCount val="5"/>
                <c:pt idx="0">
                  <c:v>8210693.5572000006</c:v>
                </c:pt>
                <c:pt idx="1">
                  <c:v>15400296.134400001</c:v>
                </c:pt>
                <c:pt idx="2">
                  <c:v>21669794.751600001</c:v>
                </c:pt>
                <c:pt idx="3">
                  <c:v>27120176.428800002</c:v>
                </c:pt>
                <c:pt idx="4">
                  <c:v>31852428.186000001</c:v>
                </c:pt>
              </c:numCache>
            </c:numRef>
          </c:xVal>
          <c:yVal>
            <c:numRef>
              <c:f>Wrinkle!$X$34:$X$38</c:f>
              <c:numCache>
                <c:formatCode>0.00</c:formatCode>
                <c:ptCount val="5"/>
                <c:pt idx="0">
                  <c:v>21.874841818147036</c:v>
                </c:pt>
                <c:pt idx="1">
                  <c:v>21.875280650129064</c:v>
                </c:pt>
                <c:pt idx="2">
                  <c:v>21.875724602144359</c:v>
                </c:pt>
                <c:pt idx="3">
                  <c:v>21.876173120343168</c:v>
                </c:pt>
                <c:pt idx="4">
                  <c:v>21.876625650875742</c:v>
                </c:pt>
              </c:numCache>
            </c:numRef>
          </c:yVal>
          <c:smooth val="1"/>
          <c:extLst>
            <c:ext xmlns:c16="http://schemas.microsoft.com/office/drawing/2014/chart" uri="{C3380CC4-5D6E-409C-BE32-E72D297353CC}">
              <c16:uniqueId val="{00000001-9CF1-B24B-8B35-0E4D93355097}"/>
            </c:ext>
          </c:extLst>
        </c:ser>
        <c:ser>
          <c:idx val="4"/>
          <c:order val="2"/>
          <c:tx>
            <c:strRef>
              <c:f>Wrinkle!$Y$33</c:f>
              <c:strCache>
                <c:ptCount val="1"/>
                <c:pt idx="0">
                  <c:v>Flexible PP</c:v>
                </c:pt>
              </c:strCache>
            </c:strRef>
          </c:tx>
          <c:spPr>
            <a:ln w="38100"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solidFill>
                    <a:latin typeface="+mn-lt"/>
                    <a:ea typeface="+mn-ea"/>
                    <a:cs typeface="+mn-cs"/>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Wrinkle!$N$34:$N$38</c:f>
              <c:numCache>
                <c:formatCode>_(* #,##0.0_);_(* \(#,##0.0\);_(* "-"??_);_(@_)</c:formatCode>
                <c:ptCount val="5"/>
                <c:pt idx="0">
                  <c:v>8210693.5572000006</c:v>
                </c:pt>
                <c:pt idx="1">
                  <c:v>15400296.134400001</c:v>
                </c:pt>
                <c:pt idx="2">
                  <c:v>21669794.751600001</c:v>
                </c:pt>
                <c:pt idx="3">
                  <c:v>27120176.428800002</c:v>
                </c:pt>
                <c:pt idx="4">
                  <c:v>31852428.186000001</c:v>
                </c:pt>
              </c:numCache>
            </c:numRef>
          </c:xVal>
          <c:yVal>
            <c:numRef>
              <c:f>Wrinkle!$Y$34:$Y$38</c:f>
              <c:numCache>
                <c:formatCode>0.00</c:formatCode>
                <c:ptCount val="5"/>
                <c:pt idx="0">
                  <c:v>21.837452111875038</c:v>
                </c:pt>
                <c:pt idx="1">
                  <c:v>21.837890943857062</c:v>
                </c:pt>
                <c:pt idx="2">
                  <c:v>21.838334895872357</c:v>
                </c:pt>
                <c:pt idx="3">
                  <c:v>21.83878341407117</c:v>
                </c:pt>
                <c:pt idx="4">
                  <c:v>21.839235944603743</c:v>
                </c:pt>
              </c:numCache>
            </c:numRef>
          </c:yVal>
          <c:smooth val="1"/>
          <c:extLst>
            <c:ext xmlns:c16="http://schemas.microsoft.com/office/drawing/2014/chart" uri="{C3380CC4-5D6E-409C-BE32-E72D297353CC}">
              <c16:uniqueId val="{00000002-9CF1-B24B-8B35-0E4D93355097}"/>
            </c:ext>
          </c:extLst>
        </c:ser>
        <c:ser>
          <c:idx val="5"/>
          <c:order val="3"/>
          <c:tx>
            <c:strRef>
              <c:f>Wrinkle!$Z$33</c:f>
              <c:strCache>
                <c:ptCount val="1"/>
                <c:pt idx="0">
                  <c:v>PVC</c:v>
                </c:pt>
              </c:strCache>
            </c:strRef>
          </c:tx>
          <c:spPr>
            <a:ln w="38100" cap="rnd">
              <a:solidFill>
                <a:schemeClr val="accent6">
                  <a:alpha val="37000"/>
                </a:schemeClr>
              </a:solidFill>
              <a:round/>
            </a:ln>
            <a:effectLst/>
          </c:spPr>
          <c:marker>
            <c:symbol val="circle"/>
            <c:size val="10"/>
            <c:spPr>
              <a:solidFill>
                <a:schemeClr val="accent6"/>
              </a:solidFill>
              <a:ln w="9525">
                <a:solidFill>
                  <a:schemeClr val="accent6"/>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Wrinkle!$N$34:$N$38</c:f>
              <c:numCache>
                <c:formatCode>_(* #,##0.0_);_(* \(#,##0.0\);_(* "-"??_);_(@_)</c:formatCode>
                <c:ptCount val="5"/>
                <c:pt idx="0">
                  <c:v>8210693.5572000006</c:v>
                </c:pt>
                <c:pt idx="1">
                  <c:v>15400296.134400001</c:v>
                </c:pt>
                <c:pt idx="2">
                  <c:v>21669794.751600001</c:v>
                </c:pt>
                <c:pt idx="3">
                  <c:v>27120176.428800002</c:v>
                </c:pt>
                <c:pt idx="4">
                  <c:v>31852428.186000001</c:v>
                </c:pt>
              </c:numCache>
            </c:numRef>
          </c:xVal>
          <c:yVal>
            <c:numRef>
              <c:f>Wrinkle!$Z$34:$Z$38</c:f>
              <c:numCache>
                <c:formatCode>0.00</c:formatCode>
                <c:ptCount val="5"/>
                <c:pt idx="0">
                  <c:v>21.837198393307037</c:v>
                </c:pt>
                <c:pt idx="1">
                  <c:v>21.837637225289065</c:v>
                </c:pt>
                <c:pt idx="2">
                  <c:v>21.838081177304357</c:v>
                </c:pt>
                <c:pt idx="3">
                  <c:v>21.838529695503169</c:v>
                </c:pt>
                <c:pt idx="4">
                  <c:v>21.838982226035743</c:v>
                </c:pt>
              </c:numCache>
            </c:numRef>
          </c:yVal>
          <c:smooth val="1"/>
          <c:extLst>
            <c:ext xmlns:c16="http://schemas.microsoft.com/office/drawing/2014/chart" uri="{C3380CC4-5D6E-409C-BE32-E72D297353CC}">
              <c16:uniqueId val="{00000003-9CF1-B24B-8B35-0E4D93355097}"/>
            </c:ext>
          </c:extLst>
        </c:ser>
        <c:ser>
          <c:idx val="0"/>
          <c:order val="4"/>
          <c:tx>
            <c:strRef>
              <c:f>Wrinkle!$AA$33</c:f>
              <c:strCache>
                <c:ptCount val="1"/>
                <c:pt idx="0">
                  <c:v>Reinforced flexible PP (R-fPP)</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Wrinkle!$N$34:$N$38</c:f>
              <c:numCache>
                <c:formatCode>_(* #,##0.0_);_(* \(#,##0.0\);_(* "-"??_);_(@_)</c:formatCode>
                <c:ptCount val="5"/>
                <c:pt idx="0">
                  <c:v>8210693.5572000006</c:v>
                </c:pt>
                <c:pt idx="1">
                  <c:v>15400296.134400001</c:v>
                </c:pt>
                <c:pt idx="2">
                  <c:v>21669794.751600001</c:v>
                </c:pt>
                <c:pt idx="3">
                  <c:v>27120176.428800002</c:v>
                </c:pt>
                <c:pt idx="4">
                  <c:v>31852428.186000001</c:v>
                </c:pt>
              </c:numCache>
            </c:numRef>
          </c:xVal>
          <c:yVal>
            <c:numRef>
              <c:f>Wrinkle!$AA$34:$AA$38</c:f>
              <c:numCache>
                <c:formatCode>0.00</c:formatCode>
                <c:ptCount val="5"/>
                <c:pt idx="0">
                  <c:v>21.836918372937436</c:v>
                </c:pt>
                <c:pt idx="1">
                  <c:v>21.837357204919464</c:v>
                </c:pt>
                <c:pt idx="2">
                  <c:v>21.837801156934759</c:v>
                </c:pt>
                <c:pt idx="3">
                  <c:v>21.838249675133568</c:v>
                </c:pt>
                <c:pt idx="4">
                  <c:v>21.838702205666142</c:v>
                </c:pt>
              </c:numCache>
            </c:numRef>
          </c:yVal>
          <c:smooth val="1"/>
          <c:extLst>
            <c:ext xmlns:c16="http://schemas.microsoft.com/office/drawing/2014/chart" uri="{C3380CC4-5D6E-409C-BE32-E72D297353CC}">
              <c16:uniqueId val="{00000001-FBDF-0046-926A-CF63800FF855}"/>
            </c:ext>
          </c:extLst>
        </c:ser>
        <c:ser>
          <c:idx val="1"/>
          <c:order val="5"/>
          <c:tx>
            <c:strRef>
              <c:f>Wrinkle!$AB$33</c:f>
              <c:strCache>
                <c:ptCount val="1"/>
                <c:pt idx="0">
                  <c:v>Reinforced Ethylene Interpolymer Alloy (EIA)</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Wrinkle!$N$34:$N$38</c:f>
              <c:numCache>
                <c:formatCode>_(* #,##0.0_);_(* \(#,##0.0\);_(* "-"??_);_(@_)</c:formatCode>
                <c:ptCount val="5"/>
                <c:pt idx="0">
                  <c:v>8210693.5572000006</c:v>
                </c:pt>
                <c:pt idx="1">
                  <c:v>15400296.134400001</c:v>
                </c:pt>
                <c:pt idx="2">
                  <c:v>21669794.751600001</c:v>
                </c:pt>
                <c:pt idx="3">
                  <c:v>27120176.428800002</c:v>
                </c:pt>
                <c:pt idx="4">
                  <c:v>31852428.186000001</c:v>
                </c:pt>
              </c:numCache>
            </c:numRef>
          </c:xVal>
          <c:yVal>
            <c:numRef>
              <c:f>Wrinkle!$AB$34:$AB$38</c:f>
              <c:numCache>
                <c:formatCode>0.00</c:formatCode>
                <c:ptCount val="5"/>
                <c:pt idx="0">
                  <c:v>21.836925219964638</c:v>
                </c:pt>
                <c:pt idx="1">
                  <c:v>21.837364051946665</c:v>
                </c:pt>
                <c:pt idx="2">
                  <c:v>21.837808003961957</c:v>
                </c:pt>
                <c:pt idx="3">
                  <c:v>21.838256522160769</c:v>
                </c:pt>
                <c:pt idx="4">
                  <c:v>21.838709052693343</c:v>
                </c:pt>
              </c:numCache>
            </c:numRef>
          </c:yVal>
          <c:smooth val="1"/>
          <c:extLst>
            <c:ext xmlns:c16="http://schemas.microsoft.com/office/drawing/2014/chart" uri="{C3380CC4-5D6E-409C-BE32-E72D297353CC}">
              <c16:uniqueId val="{00000002-FBDF-0046-926A-CF63800FF855}"/>
            </c:ext>
          </c:extLst>
        </c:ser>
        <c:ser>
          <c:idx val="6"/>
          <c:order val="6"/>
          <c:tx>
            <c:strRef>
              <c:f>Wrinkle!$AC$33</c:f>
              <c:strCache>
                <c:ptCount val="1"/>
                <c:pt idx="0">
                  <c:v> Reinforced CSPE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Wrinkle!$N$34:$N$38</c:f>
              <c:numCache>
                <c:formatCode>_(* #,##0.0_);_(* \(#,##0.0\);_(* "-"??_);_(@_)</c:formatCode>
                <c:ptCount val="5"/>
                <c:pt idx="0">
                  <c:v>8210693.5572000006</c:v>
                </c:pt>
                <c:pt idx="1">
                  <c:v>15400296.134400001</c:v>
                </c:pt>
                <c:pt idx="2">
                  <c:v>21669794.751600001</c:v>
                </c:pt>
                <c:pt idx="3">
                  <c:v>27120176.428800002</c:v>
                </c:pt>
                <c:pt idx="4">
                  <c:v>31852428.186000001</c:v>
                </c:pt>
              </c:numCache>
            </c:numRef>
          </c:xVal>
          <c:yVal>
            <c:numRef>
              <c:f>Wrinkle!$AC$34:$AC$38</c:f>
              <c:numCache>
                <c:formatCode>0.00</c:formatCode>
                <c:ptCount val="5"/>
                <c:pt idx="0">
                  <c:v>21.836911525910239</c:v>
                </c:pt>
                <c:pt idx="1">
                  <c:v>21.837350357892262</c:v>
                </c:pt>
                <c:pt idx="2">
                  <c:v>21.837794309907558</c:v>
                </c:pt>
                <c:pt idx="3">
                  <c:v>21.838242828106367</c:v>
                </c:pt>
                <c:pt idx="4">
                  <c:v>21.83869535863894</c:v>
                </c:pt>
              </c:numCache>
            </c:numRef>
          </c:yVal>
          <c:smooth val="1"/>
          <c:extLst>
            <c:ext xmlns:c16="http://schemas.microsoft.com/office/drawing/2014/chart" uri="{C3380CC4-5D6E-409C-BE32-E72D297353CC}">
              <c16:uniqueId val="{00000003-FBDF-0046-926A-CF63800FF855}"/>
            </c:ext>
          </c:extLst>
        </c:ser>
        <c:ser>
          <c:idx val="7"/>
          <c:order val="7"/>
          <c:tx>
            <c:strRef>
              <c:f>Wrinkle!$AD$33</c:f>
              <c:strCache>
                <c:ptCount val="1"/>
                <c:pt idx="0">
                  <c:v> Reinforced LLDPE</c:v>
                </c:pt>
              </c:strCache>
            </c:strRef>
          </c:tx>
          <c:spPr>
            <a:ln w="19050" cap="rnd">
              <a:solidFill>
                <a:schemeClr val="accent2">
                  <a:lumMod val="60000"/>
                </a:schemeClr>
              </a:solidFill>
              <a:round/>
            </a:ln>
            <a:effectLst/>
          </c:spPr>
          <c:marker>
            <c:symbol val="circle"/>
            <c:size val="10"/>
            <c:spPr>
              <a:solidFill>
                <a:schemeClr val="accent2">
                  <a:lumMod val="60000"/>
                </a:schemeClr>
              </a:solidFill>
              <a:ln w="9525">
                <a:solidFill>
                  <a:schemeClr val="accent2">
                    <a:lumMod val="6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Wrinkle!$N$34:$N$38</c:f>
              <c:numCache>
                <c:formatCode>_(* #,##0.0_);_(* \(#,##0.0\);_(* "-"??_);_(@_)</c:formatCode>
                <c:ptCount val="5"/>
                <c:pt idx="0">
                  <c:v>8210693.5572000006</c:v>
                </c:pt>
                <c:pt idx="1">
                  <c:v>15400296.134400001</c:v>
                </c:pt>
                <c:pt idx="2">
                  <c:v>21669794.751600001</c:v>
                </c:pt>
                <c:pt idx="3">
                  <c:v>27120176.428800002</c:v>
                </c:pt>
                <c:pt idx="4">
                  <c:v>31852428.186000001</c:v>
                </c:pt>
              </c:numCache>
            </c:numRef>
          </c:xVal>
          <c:yVal>
            <c:numRef>
              <c:f>Wrinkle!$AD$34:$AD$38</c:f>
              <c:numCache>
                <c:formatCode>0.00</c:formatCode>
                <c:ptCount val="5"/>
                <c:pt idx="0">
                  <c:v>21.836911525910239</c:v>
                </c:pt>
                <c:pt idx="1">
                  <c:v>21.837350357892262</c:v>
                </c:pt>
                <c:pt idx="2">
                  <c:v>21.837794309907558</c:v>
                </c:pt>
                <c:pt idx="3">
                  <c:v>21.838242828106367</c:v>
                </c:pt>
                <c:pt idx="4">
                  <c:v>21.83869535863894</c:v>
                </c:pt>
              </c:numCache>
            </c:numRef>
          </c:yVal>
          <c:smooth val="1"/>
          <c:extLst>
            <c:ext xmlns:c16="http://schemas.microsoft.com/office/drawing/2014/chart" uri="{C3380CC4-5D6E-409C-BE32-E72D297353CC}">
              <c16:uniqueId val="{00000004-FBDF-0046-926A-CF63800FF855}"/>
            </c:ext>
          </c:extLst>
        </c:ser>
        <c:dLbls>
          <c:dLblPos val="t"/>
          <c:showLegendKey val="0"/>
          <c:showVal val="1"/>
          <c:showCatName val="0"/>
          <c:showSerName val="0"/>
          <c:showPercent val="0"/>
          <c:showBubbleSize val="0"/>
        </c:dLbls>
        <c:axId val="633433680"/>
        <c:axId val="633436800"/>
      </c:scatterChart>
      <c:valAx>
        <c:axId val="633433680"/>
        <c:scaling>
          <c:orientation val="minMax"/>
        </c:scaling>
        <c:delete val="0"/>
        <c:axPos val="b"/>
        <c:majorGridlines>
          <c:spPr>
            <a:ln w="9525" cap="flat" cmpd="sng" algn="ctr">
              <a:solidFill>
                <a:schemeClr val="bg2"/>
              </a:solidFill>
              <a:round/>
            </a:ln>
            <a:effectLst/>
          </c:spPr>
        </c:majorGridlines>
        <c:title>
          <c:tx>
            <c:rich>
              <a:bodyPr rot="0" spcFirstLastPara="1" vertOverflow="ellipsis" vert="horz" wrap="square" anchor="ctr" anchorCtr="1"/>
              <a:lstStyle/>
              <a:p>
                <a:pPr>
                  <a:defRPr sz="2400" b="0" i="0" u="none" strike="noStrike" kern="1200" baseline="0">
                    <a:solidFill>
                      <a:schemeClr val="tx1"/>
                    </a:solidFill>
                    <a:latin typeface="+mn-lt"/>
                    <a:ea typeface="+mn-ea"/>
                    <a:cs typeface="+mn-cs"/>
                  </a:defRPr>
                </a:pPr>
                <a:r>
                  <a:rPr lang="en-US" sz="3200" b="1"/>
                  <a:t>Total Volume of Pond (Gallons)</a:t>
                </a:r>
              </a:p>
            </c:rich>
          </c:tx>
          <c:layout>
            <c:manualLayout>
              <c:xMode val="edge"/>
              <c:yMode val="edge"/>
              <c:x val="0.4435997095373182"/>
              <c:y val="0.84755771900710852"/>
            </c:manualLayout>
          </c:layout>
          <c:overlay val="0"/>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title>
        <c:numFmt formatCode="#,##0" sourceLinked="0"/>
        <c:majorTickMark val="in"/>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crossAx val="633436800"/>
        <c:crosses val="autoZero"/>
        <c:crossBetween val="midCat"/>
        <c:majorUnit val="5000000"/>
      </c:valAx>
      <c:valAx>
        <c:axId val="633436800"/>
        <c:scaling>
          <c:orientation val="minMax"/>
          <c:max val="30"/>
          <c:min val="16"/>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2400" b="0" i="0" u="none" strike="noStrike" kern="1200" baseline="0">
                    <a:solidFill>
                      <a:schemeClr val="tx1"/>
                    </a:solidFill>
                    <a:latin typeface="+mn-lt"/>
                    <a:ea typeface="+mn-ea"/>
                    <a:cs typeface="+mn-cs"/>
                  </a:defRPr>
                </a:pPr>
                <a:r>
                  <a:rPr lang="en-US" sz="3200" b="1"/>
                  <a:t>Total Leakage Rate</a:t>
                </a:r>
                <a:r>
                  <a:rPr lang="en-US" sz="3200" b="1" baseline="0"/>
                  <a:t> </a:t>
                </a:r>
                <a:r>
                  <a:rPr lang="en-US" sz="3200" b="1"/>
                  <a:t>(cm3/sec)</a:t>
                </a:r>
              </a:p>
            </c:rich>
          </c:tx>
          <c:layout>
            <c:manualLayout>
              <c:xMode val="edge"/>
              <c:yMode val="edge"/>
              <c:x val="2.0006175105166318E-2"/>
              <c:y val="0.22328850935226394"/>
            </c:manualLayout>
          </c:layout>
          <c:overlay val="0"/>
          <c:spPr>
            <a:noFill/>
            <a:ln>
              <a:noFill/>
            </a:ln>
            <a:effectLst/>
          </c:spPr>
          <c:txPr>
            <a:bodyPr rot="-54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title>
        <c:numFmt formatCode="0"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crossAx val="633433680"/>
        <c:crosses val="autoZero"/>
        <c:crossBetween val="midCat"/>
        <c:majorUnit val="2"/>
      </c:valAx>
      <c:spPr>
        <a:noFill/>
        <a:ln w="25400">
          <a:solidFill>
            <a:schemeClr val="tx1"/>
          </a:solidFill>
        </a:ln>
        <a:effectLst/>
      </c:spPr>
    </c:plotArea>
    <c:legend>
      <c:legendPos val="b"/>
      <c:layout>
        <c:manualLayout>
          <c:xMode val="edge"/>
          <c:yMode val="edge"/>
          <c:x val="0.37432669305048605"/>
          <c:y val="0.90191801302687946"/>
          <c:w val="0.62567351436869367"/>
          <c:h val="3.796049060701466E-2"/>
        </c:manualLayout>
      </c:layout>
      <c:overlay val="0"/>
      <c:spPr>
        <a:noFill/>
        <a:ln>
          <a:noFill/>
        </a:ln>
        <a:effectLst/>
      </c:spPr>
      <c:txPr>
        <a:bodyPr rot="0" spcFirstLastPara="1" vertOverflow="ellipsis" vert="horz" wrap="square" anchor="ctr" anchorCtr="1"/>
        <a:lstStyle/>
        <a:p>
          <a:pPr>
            <a:defRPr sz="24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240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jpg"/><Relationship Id="rId1" Type="http://schemas.openxmlformats.org/officeDocument/2006/relationships/chart" Target="../charts/chart1.xml"/><Relationship Id="rId6" Type="http://schemas.openxmlformats.org/officeDocument/2006/relationships/image" Target="../media/image3.png"/><Relationship Id="rId5" Type="http://schemas.openxmlformats.org/officeDocument/2006/relationships/chart" Target="../charts/chart3.xm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12</xdr:col>
      <xdr:colOff>856584</xdr:colOff>
      <xdr:row>38</xdr:row>
      <xdr:rowOff>296127</xdr:rowOff>
    </xdr:from>
    <xdr:to>
      <xdr:col>26</xdr:col>
      <xdr:colOff>643052</xdr:colOff>
      <xdr:row>65</xdr:row>
      <xdr:rowOff>586058</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81427</xdr:colOff>
      <xdr:row>2</xdr:row>
      <xdr:rowOff>140748</xdr:rowOff>
    </xdr:from>
    <xdr:to>
      <xdr:col>4</xdr:col>
      <xdr:colOff>174423</xdr:colOff>
      <xdr:row>5</xdr:row>
      <xdr:rowOff>105033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60318" y="685034"/>
          <a:ext cx="1520945" cy="1052857"/>
        </a:xfrm>
        <a:prstGeom prst="rect">
          <a:avLst/>
        </a:prstGeom>
      </xdr:spPr>
    </xdr:pic>
    <xdr:clientData/>
  </xdr:twoCellAnchor>
  <xdr:twoCellAnchor>
    <xdr:from>
      <xdr:col>12</xdr:col>
      <xdr:colOff>902787</xdr:colOff>
      <xdr:row>65</xdr:row>
      <xdr:rowOff>583743</xdr:rowOff>
    </xdr:from>
    <xdr:to>
      <xdr:col>27</xdr:col>
      <xdr:colOff>11685</xdr:colOff>
      <xdr:row>113</xdr:row>
      <xdr:rowOff>81641</xdr:rowOff>
    </xdr:to>
    <xdr:graphicFrame macro="">
      <xdr:nvGraphicFramePr>
        <xdr:cNvPr id="6" name="Chart 1">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661988</xdr:colOff>
      <xdr:row>2</xdr:row>
      <xdr:rowOff>116949</xdr:rowOff>
    </xdr:from>
    <xdr:to>
      <xdr:col>5</xdr:col>
      <xdr:colOff>348036</xdr:colOff>
      <xdr:row>5</xdr:row>
      <xdr:rowOff>123419</xdr:rowOff>
    </xdr:to>
    <xdr:pic>
      <xdr:nvPicPr>
        <xdr:cNvPr id="7" name="Picture 6">
          <a:extLst>
            <a:ext uri="{FF2B5EF4-FFF2-40B4-BE49-F238E27FC236}">
              <a16:creationId xmlns:a16="http://schemas.microsoft.com/office/drawing/2014/main" id="{B137A8FA-13F5-4490-A636-5DD04782F96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168828" y="661235"/>
          <a:ext cx="832250" cy="1095042"/>
        </a:xfrm>
        <a:prstGeom prst="rect">
          <a:avLst/>
        </a:prstGeom>
      </xdr:spPr>
    </xdr:pic>
    <xdr:clientData/>
  </xdr:twoCellAnchor>
  <xdr:twoCellAnchor>
    <xdr:from>
      <xdr:col>26</xdr:col>
      <xdr:colOff>402683</xdr:colOff>
      <xdr:row>39</xdr:row>
      <xdr:rowOff>61951</xdr:rowOff>
    </xdr:from>
    <xdr:to>
      <xdr:col>58</xdr:col>
      <xdr:colOff>247805</xdr:colOff>
      <xdr:row>68</xdr:row>
      <xdr:rowOff>92927</xdr:rowOff>
    </xdr:to>
    <xdr:graphicFrame macro="">
      <xdr:nvGraphicFramePr>
        <xdr:cNvPr id="8" name="Chart 1">
          <a:extLst>
            <a:ext uri="{FF2B5EF4-FFF2-40B4-BE49-F238E27FC236}">
              <a16:creationId xmlns:a16="http://schemas.microsoft.com/office/drawing/2014/main" id="{DFE81F84-AD72-0449-92F0-2849EFF15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6</xdr:col>
      <xdr:colOff>257299</xdr:colOff>
      <xdr:row>1</xdr:row>
      <xdr:rowOff>1</xdr:rowOff>
    </xdr:from>
    <xdr:to>
      <xdr:col>9</xdr:col>
      <xdr:colOff>1432532</xdr:colOff>
      <xdr:row>14</xdr:row>
      <xdr:rowOff>264838</xdr:rowOff>
    </xdr:to>
    <xdr:pic>
      <xdr:nvPicPr>
        <xdr:cNvPr id="9" name="Picture 8">
          <a:extLst>
            <a:ext uri="{FF2B5EF4-FFF2-40B4-BE49-F238E27FC236}">
              <a16:creationId xmlns:a16="http://schemas.microsoft.com/office/drawing/2014/main" id="{E6B45F70-6C5D-4D62-BB6A-41D0CF1839B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rot="16200000">
          <a:off x="16778823" y="-786718"/>
          <a:ext cx="4906110" cy="6855597"/>
        </a:xfrm>
        <a:prstGeom prst="rect">
          <a:avLst/>
        </a:prstGeom>
        <a:ln>
          <a:solidFill>
            <a:sysClr val="windowText" lastClr="000000"/>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aud Medina, Gonzalo Farid" id="{AA906DB8-A227-0F47-8B2B-CDDD8474C7B9}" userId="S::gfs3@illinois.edu::ed6506c5-dc6b-4929-b403-b4c8a154537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8" dT="2020-12-31T18:23:40.06" personId="{AA906DB8-A227-0F47-8B2B-CDDD8474C7B9}" id="{9F951088-C2E1-DF4F-BE68-009851C3F395}">
    <text>What does the 0.0000031 stands for?</text>
  </threadedComment>
  <threadedComment ref="I35" dT="2020-12-31T17:36:27.17" personId="{AA906DB8-A227-0F47-8B2B-CDDD8474C7B9}" id="{86BE31C2-F11A-C246-B4C4-C766A2A657EE}">
    <text>Using the area in cm^2 to report cm^3/sec</text>
  </threadedComment>
  <threadedComment ref="I37" dT="2020-12-31T17:42:24.14" personId="{AA906DB8-A227-0F47-8B2B-CDDD8474C7B9}" id="{6FA806C3-AEAB-7C49-997F-A6B5B0CC372C}">
    <text>GM thickness converted from cm to m</text>
  </threadedComment>
  <threadedComment ref="I40" dT="2020-12-31T17:58:06.59" personId="{AA906DB8-A227-0F47-8B2B-CDDD8474C7B9}" id="{58D92C3F-75CB-B047-8ED6-5BEA632E5602}">
    <text>The area of the holes and the head on GM were converted to cm so that everything is in cm, reporting in cm^3/sec</text>
  </threadedComment>
  <threadedComment ref="J46" dT="2020-12-31T18:13:59.58" personId="{AA906DB8-A227-0F47-8B2B-CDDD8474C7B9}" id="{B5ABA121-5054-8042-9A87-510E56C16848}">
    <text xml:space="preserve">Every item is converted to cm to report in cm^3/s
</text>
  </threadedComment>
  <threadedComment ref="F48" dT="2020-12-31T18:50:22.61" personId="{AA906DB8-A227-0F47-8B2B-CDDD8474C7B9}" id="{498D8688-4B8C-5E49-B3B6-D6F8717BC12B}">
    <text xml:space="preserve">These units have not been changed because these are typical dimensions that we are providing. In the calculations, these are transformed into cm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J101"/>
  <sheetViews>
    <sheetView tabSelected="1" zoomScale="85" zoomScaleNormal="85" workbookViewId="0">
      <selection activeCell="A6" sqref="A6"/>
    </sheetView>
  </sheetViews>
  <sheetFormatPr defaultColWidth="8.84375" defaultRowHeight="14.6"/>
  <cols>
    <col min="1" max="1" width="89.3046875" customWidth="1"/>
    <col min="2" max="2" width="50.3046875" customWidth="1"/>
    <col min="3" max="3" width="2.84375" customWidth="1"/>
    <col min="4" max="4" width="20.15234375" customWidth="1"/>
    <col min="5" max="5" width="16.15234375" customWidth="1"/>
    <col min="6" max="6" width="40.84375" customWidth="1"/>
    <col min="7" max="7" width="53.3046875" customWidth="1"/>
    <col min="8" max="8" width="1.69140625" style="109" bestFit="1" customWidth="1"/>
    <col min="9" max="9" width="25.3046875" customWidth="1"/>
    <col min="10" max="10" width="24.84375" customWidth="1"/>
    <col min="11" max="11" width="20.3046875" customWidth="1"/>
    <col min="12" max="12" width="31" customWidth="1"/>
    <col min="13" max="13" width="63.3046875" customWidth="1"/>
    <col min="14" max="14" width="26.84375" customWidth="1"/>
    <col min="15" max="15" width="23.3046875" customWidth="1"/>
    <col min="16" max="17" width="19.84375" bestFit="1" customWidth="1"/>
    <col min="18" max="18" width="28.3046875" customWidth="1"/>
    <col min="20" max="20" width="9" customWidth="1"/>
    <col min="21" max="21" width="18.3046875" customWidth="1"/>
    <col min="22" max="22" width="1.69140625" bestFit="1" customWidth="1"/>
    <col min="23" max="23" width="20" customWidth="1"/>
    <col min="24" max="24" width="15.84375" customWidth="1"/>
    <col min="25" max="25" width="17.3046875" customWidth="1"/>
    <col min="26" max="26" width="14.15234375" customWidth="1"/>
    <col min="27" max="27" width="21.4609375" customWidth="1"/>
    <col min="28" max="28" width="24" customWidth="1"/>
    <col min="29" max="29" width="20.15234375" bestFit="1" customWidth="1"/>
    <col min="30" max="30" width="21.15234375" bestFit="1" customWidth="1"/>
  </cols>
  <sheetData>
    <row r="2" spans="1:24" ht="28.3">
      <c r="A2" s="92" t="s">
        <v>177</v>
      </c>
    </row>
    <row r="3" spans="1:24" ht="28.3">
      <c r="A3" s="92" t="s">
        <v>47</v>
      </c>
    </row>
    <row r="4" spans="1:24" ht="28.75" thickBot="1">
      <c r="A4" s="92" t="s">
        <v>81</v>
      </c>
    </row>
    <row r="5" spans="1:24" ht="28.75" thickTop="1">
      <c r="A5" s="92" t="s">
        <v>45</v>
      </c>
      <c r="B5" s="126" t="s">
        <v>0</v>
      </c>
    </row>
    <row r="6" spans="1:24" ht="28.75" thickBot="1">
      <c r="A6" s="7"/>
      <c r="B6" s="127" t="s">
        <v>30</v>
      </c>
      <c r="F6" s="266"/>
    </row>
    <row r="7" spans="1:24" ht="28.75" thickTop="1">
      <c r="F7" s="267"/>
    </row>
    <row r="8" spans="1:24" ht="26.6" thickBot="1">
      <c r="A8" s="239" t="s">
        <v>39</v>
      </c>
      <c r="B8" s="239"/>
      <c r="C8" s="239"/>
      <c r="D8" s="239"/>
      <c r="M8" s="242" t="s">
        <v>37</v>
      </c>
      <c r="N8" s="242"/>
      <c r="O8" s="242"/>
      <c r="P8" s="242"/>
      <c r="Q8" s="242"/>
      <c r="R8" s="242"/>
    </row>
    <row r="9" spans="1:24" ht="30.45" thickTop="1" thickBot="1">
      <c r="A9" s="12" t="s">
        <v>70</v>
      </c>
      <c r="B9" s="17">
        <v>400</v>
      </c>
      <c r="C9" s="253" t="s">
        <v>167</v>
      </c>
      <c r="D9" s="254"/>
      <c r="M9" s="255" t="s">
        <v>27</v>
      </c>
      <c r="N9" s="256"/>
      <c r="O9" s="256"/>
      <c r="P9" s="256"/>
      <c r="Q9" s="256"/>
      <c r="R9" s="257"/>
      <c r="T9" s="233" t="s">
        <v>79</v>
      </c>
      <c r="U9" s="233"/>
      <c r="V9" s="233"/>
      <c r="W9" s="233"/>
      <c r="X9" s="233"/>
    </row>
    <row r="10" spans="1:24" ht="27" thickTop="1" thickBot="1">
      <c r="A10" s="13" t="s">
        <v>71</v>
      </c>
      <c r="B10" s="18">
        <v>600</v>
      </c>
      <c r="C10" s="234" t="s">
        <v>167</v>
      </c>
      <c r="D10" s="235"/>
      <c r="M10" s="77" t="s">
        <v>12</v>
      </c>
      <c r="N10" s="78" t="s">
        <v>170</v>
      </c>
      <c r="O10" s="79" t="s">
        <v>171</v>
      </c>
      <c r="P10" s="79" t="s">
        <v>172</v>
      </c>
      <c r="Q10" s="79" t="s">
        <v>173</v>
      </c>
      <c r="R10" s="80" t="s">
        <v>174</v>
      </c>
      <c r="T10" s="91">
        <v>1</v>
      </c>
      <c r="U10" s="91" t="s">
        <v>107</v>
      </c>
      <c r="V10" s="91" t="s">
        <v>2</v>
      </c>
      <c r="W10" s="91">
        <v>30.48</v>
      </c>
      <c r="X10" s="91" t="s">
        <v>108</v>
      </c>
    </row>
    <row r="11" spans="1:24" ht="27.9" thickTop="1">
      <c r="A11" s="13" t="s">
        <v>34</v>
      </c>
      <c r="B11" s="18">
        <v>25</v>
      </c>
      <c r="C11" s="234" t="s">
        <v>167</v>
      </c>
      <c r="D11" s="235"/>
      <c r="M11" s="82" t="s">
        <v>52</v>
      </c>
      <c r="N11" s="94">
        <f>N22/3600/24/$W$13</f>
        <v>3920.5473531460261</v>
      </c>
      <c r="O11" s="94">
        <f t="shared" ref="N11:R16" si="0">O22/3600/24/$W$13</f>
        <v>10617.614621519067</v>
      </c>
      <c r="P11" s="94">
        <f t="shared" si="0"/>
        <v>17459.412271933281</v>
      </c>
      <c r="Q11" s="94">
        <f t="shared" si="0"/>
        <v>24378.097937806877</v>
      </c>
      <c r="R11" s="95">
        <f t="shared" si="0"/>
        <v>31305.829252558055</v>
      </c>
      <c r="T11" s="91">
        <v>1</v>
      </c>
      <c r="U11" s="91" t="s">
        <v>75</v>
      </c>
      <c r="V11" s="91" t="s">
        <v>2</v>
      </c>
      <c r="W11" s="91">
        <v>929.03</v>
      </c>
      <c r="X11" s="91" t="s">
        <v>76</v>
      </c>
    </row>
    <row r="12" spans="1:24" ht="27.45">
      <c r="A12" s="13" t="s">
        <v>40</v>
      </c>
      <c r="B12" s="19">
        <f>((D30-2*B11*(B34/D34))*(D31-2*B11*(B34/D34))+(D30-D29*B34/D34*2)*(D31-D29*B34/D34*2))*B11/2*W12</f>
        <v>31852428.186000001</v>
      </c>
      <c r="C12" s="234" t="s">
        <v>164</v>
      </c>
      <c r="D12" s="235"/>
      <c r="M12" s="82" t="s">
        <v>53</v>
      </c>
      <c r="N12" s="94">
        <f t="shared" si="0"/>
        <v>392.05473531460262</v>
      </c>
      <c r="O12" s="94">
        <f t="shared" si="0"/>
        <v>1061.7614621519067</v>
      </c>
      <c r="P12" s="94">
        <f t="shared" si="0"/>
        <v>1745.9412271933286</v>
      </c>
      <c r="Q12" s="94">
        <f t="shared" si="0"/>
        <v>2437.8097937806883</v>
      </c>
      <c r="R12" s="95">
        <f t="shared" si="0"/>
        <v>3130.5829252558046</v>
      </c>
      <c r="T12" s="91">
        <v>1</v>
      </c>
      <c r="U12" s="91" t="s">
        <v>77</v>
      </c>
      <c r="V12" s="91" t="s">
        <v>2</v>
      </c>
      <c r="W12" s="91">
        <v>7.4805200000000003</v>
      </c>
      <c r="X12" s="91" t="s">
        <v>24</v>
      </c>
    </row>
    <row r="13" spans="1:24" ht="27.45">
      <c r="A13" s="13" t="s">
        <v>110</v>
      </c>
      <c r="B13" s="20">
        <v>9.9999999999999995E-8</v>
      </c>
      <c r="C13" s="234" t="s">
        <v>5</v>
      </c>
      <c r="D13" s="235"/>
      <c r="M13" s="82" t="s">
        <v>54</v>
      </c>
      <c r="N13" s="94">
        <f t="shared" si="0"/>
        <v>39.205473531460264</v>
      </c>
      <c r="O13" s="94">
        <f t="shared" si="0"/>
        <v>106.17614621519066</v>
      </c>
      <c r="P13" s="94">
        <f t="shared" si="0"/>
        <v>174.5941227193328</v>
      </c>
      <c r="Q13" s="94">
        <f t="shared" si="0"/>
        <v>243.78097937806882</v>
      </c>
      <c r="R13" s="95">
        <f t="shared" si="0"/>
        <v>313.0582925255805</v>
      </c>
      <c r="T13" s="91">
        <v>1</v>
      </c>
      <c r="U13" s="91" t="s">
        <v>78</v>
      </c>
      <c r="V13" s="91" t="s">
        <v>2</v>
      </c>
      <c r="W13" s="91">
        <v>2.6417200000000002E-4</v>
      </c>
      <c r="X13" s="91" t="s">
        <v>24</v>
      </c>
    </row>
    <row r="14" spans="1:24" ht="27.45">
      <c r="A14" s="13" t="s">
        <v>80</v>
      </c>
      <c r="B14" s="20">
        <v>9.9999999999999998E-13</v>
      </c>
      <c r="C14" s="234" t="s">
        <v>5</v>
      </c>
      <c r="D14" s="235"/>
      <c r="M14" s="82" t="s">
        <v>55</v>
      </c>
      <c r="N14" s="94">
        <f t="shared" si="0"/>
        <v>3.9205473531460266</v>
      </c>
      <c r="O14" s="94">
        <f t="shared" si="0"/>
        <v>10.617614621519065</v>
      </c>
      <c r="P14" s="94">
        <f t="shared" si="0"/>
        <v>17.459412271933282</v>
      </c>
      <c r="Q14" s="94">
        <f t="shared" si="0"/>
        <v>24.378097937806885</v>
      </c>
      <c r="R14" s="95">
        <f t="shared" si="0"/>
        <v>31.305829252558052</v>
      </c>
      <c r="T14" s="91">
        <v>1</v>
      </c>
      <c r="U14" s="91" t="s">
        <v>109</v>
      </c>
      <c r="V14" s="91" t="s">
        <v>50</v>
      </c>
      <c r="W14" s="91">
        <v>10.76</v>
      </c>
      <c r="X14" s="91" t="s">
        <v>75</v>
      </c>
    </row>
    <row r="15" spans="1:24" ht="26.15">
      <c r="A15" s="13" t="s">
        <v>41</v>
      </c>
      <c r="B15" s="21">
        <f>I35</f>
        <v>53911.880226159265</v>
      </c>
      <c r="C15" s="234" t="s">
        <v>166</v>
      </c>
      <c r="D15" s="235"/>
      <c r="M15" s="82" t="s">
        <v>56</v>
      </c>
      <c r="N15" s="94">
        <f t="shared" si="0"/>
        <v>0.39205473531460278</v>
      </c>
      <c r="O15" s="94">
        <f t="shared" si="0"/>
        <v>1.0617614621519065</v>
      </c>
      <c r="P15" s="94">
        <f t="shared" si="0"/>
        <v>1.7459412271933286</v>
      </c>
      <c r="Q15" s="94">
        <f t="shared" si="0"/>
        <v>2.437809793780688</v>
      </c>
      <c r="R15" s="95">
        <f t="shared" si="0"/>
        <v>3.1305829252558053</v>
      </c>
      <c r="T15" s="91">
        <v>1</v>
      </c>
      <c r="U15" s="91" t="s">
        <v>49</v>
      </c>
      <c r="V15" s="91" t="s">
        <v>50</v>
      </c>
      <c r="W15" s="91">
        <v>325851</v>
      </c>
      <c r="X15" s="91" t="s">
        <v>51</v>
      </c>
    </row>
    <row r="16" spans="1:24" ht="27.9" thickBot="1">
      <c r="A16" s="13" t="s">
        <v>42</v>
      </c>
      <c r="B16" s="19">
        <f>I38</f>
        <v>2.1225149695338295</v>
      </c>
      <c r="C16" s="234" t="s">
        <v>166</v>
      </c>
      <c r="D16" s="235"/>
      <c r="G16" s="99" t="s">
        <v>82</v>
      </c>
      <c r="M16" s="87" t="s">
        <v>20</v>
      </c>
      <c r="N16" s="96">
        <f t="shared" si="0"/>
        <v>9.4093136475504629E-6</v>
      </c>
      <c r="O16" s="96">
        <f t="shared" si="0"/>
        <v>2.5482275091645753E-5</v>
      </c>
      <c r="P16" s="96">
        <f t="shared" si="0"/>
        <v>4.1902589452639883E-5</v>
      </c>
      <c r="Q16" s="96">
        <f t="shared" si="0"/>
        <v>5.8507435050736519E-5</v>
      </c>
      <c r="R16" s="97">
        <f t="shared" si="0"/>
        <v>7.5133990206139334E-5</v>
      </c>
      <c r="T16" s="227">
        <v>1</v>
      </c>
      <c r="U16" s="227" t="s">
        <v>35</v>
      </c>
      <c r="V16" s="91" t="s">
        <v>50</v>
      </c>
      <c r="W16" s="91">
        <v>3.7854099999999999E-3</v>
      </c>
      <c r="X16" s="91" t="s">
        <v>161</v>
      </c>
    </row>
    <row r="17" spans="1:36" ht="27.45" thickTop="1" thickBot="1">
      <c r="A17" s="14" t="s">
        <v>63</v>
      </c>
      <c r="B17" s="22">
        <v>25000</v>
      </c>
      <c r="C17" s="15" t="s">
        <v>66</v>
      </c>
      <c r="D17" s="16"/>
      <c r="F17" s="98" t="s">
        <v>68</v>
      </c>
      <c r="G17" s="98" t="s">
        <v>69</v>
      </c>
      <c r="M17" s="51"/>
      <c r="N17" s="51"/>
      <c r="O17" s="51"/>
      <c r="P17" s="51"/>
      <c r="Q17" s="51"/>
      <c r="R17" s="51"/>
      <c r="T17" s="227">
        <v>1</v>
      </c>
      <c r="U17" s="227" t="s">
        <v>36</v>
      </c>
      <c r="V17" s="91" t="s">
        <v>2</v>
      </c>
      <c r="W17" s="91">
        <v>3.7854099999999999E-3</v>
      </c>
      <c r="X17" s="91" t="s">
        <v>162</v>
      </c>
    </row>
    <row r="18" spans="1:36" ht="27.45" thickTop="1" thickBot="1">
      <c r="A18" s="14" t="s">
        <v>64</v>
      </c>
      <c r="B18" s="120">
        <f>B15*B17*0.0000031*365</f>
        <v>1525032.3118974802</v>
      </c>
      <c r="C18" s="240" t="s">
        <v>67</v>
      </c>
      <c r="D18" s="241"/>
      <c r="M18" s="51"/>
      <c r="N18" s="51"/>
      <c r="O18" s="51"/>
      <c r="P18" s="51"/>
      <c r="Q18" s="51"/>
      <c r="R18" s="51"/>
      <c r="T18" s="91">
        <v>1</v>
      </c>
      <c r="U18" s="91" t="s">
        <v>49</v>
      </c>
      <c r="V18" s="91" t="s">
        <v>50</v>
      </c>
      <c r="W18" s="91">
        <v>1233.4802199999999</v>
      </c>
      <c r="X18" s="91" t="s">
        <v>162</v>
      </c>
    </row>
    <row r="19" spans="1:36" ht="27.45" thickTop="1" thickBot="1">
      <c r="A19" s="14" t="s">
        <v>65</v>
      </c>
      <c r="B19" s="120">
        <f>B16*B17*0.0000031*365</f>
        <v>60.040642200688197</v>
      </c>
      <c r="C19" s="240" t="s">
        <v>67</v>
      </c>
      <c r="D19" s="241"/>
      <c r="E19" s="9"/>
      <c r="F19" s="118"/>
      <c r="G19" s="117"/>
      <c r="M19" s="51"/>
      <c r="N19" s="51"/>
      <c r="O19" s="51"/>
      <c r="P19" s="51"/>
      <c r="Q19" s="51"/>
      <c r="R19" s="51"/>
      <c r="T19" s="91">
        <v>1</v>
      </c>
      <c r="U19" s="91" t="s">
        <v>109</v>
      </c>
      <c r="V19" s="91" t="s">
        <v>50</v>
      </c>
      <c r="W19" s="91">
        <v>10000</v>
      </c>
      <c r="X19" s="91" t="s">
        <v>76</v>
      </c>
    </row>
    <row r="20" spans="1:36" ht="28.3" thickTop="1" thickBot="1">
      <c r="A20" s="2" t="s">
        <v>38</v>
      </c>
      <c r="B20" s="119"/>
      <c r="C20" s="2"/>
      <c r="D20" s="2"/>
      <c r="M20" s="255" t="s">
        <v>26</v>
      </c>
      <c r="N20" s="256"/>
      <c r="O20" s="256"/>
      <c r="P20" s="256"/>
      <c r="Q20" s="256"/>
      <c r="R20" s="257"/>
      <c r="T20" s="91">
        <v>1</v>
      </c>
      <c r="U20" s="91" t="s">
        <v>162</v>
      </c>
      <c r="V20" s="91" t="s">
        <v>50</v>
      </c>
      <c r="W20" s="91">
        <f>100^3</f>
        <v>1000000</v>
      </c>
      <c r="X20" s="91" t="s">
        <v>78</v>
      </c>
    </row>
    <row r="21" spans="1:36" ht="28.3" thickTop="1" thickBot="1">
      <c r="A21" s="8" t="s">
        <v>43</v>
      </c>
      <c r="M21" s="81" t="s">
        <v>12</v>
      </c>
      <c r="N21" s="78" t="s">
        <v>170</v>
      </c>
      <c r="O21" s="79" t="s">
        <v>171</v>
      </c>
      <c r="P21" s="79" t="s">
        <v>172</v>
      </c>
      <c r="Q21" s="79" t="s">
        <v>173</v>
      </c>
      <c r="R21" s="80" t="s">
        <v>174</v>
      </c>
      <c r="T21" s="227">
        <v>1</v>
      </c>
      <c r="U21" s="227" t="s">
        <v>35</v>
      </c>
      <c r="V21" s="91" t="s">
        <v>50</v>
      </c>
      <c r="W21" s="91">
        <v>3.7854099999999999E-3</v>
      </c>
      <c r="X21" s="91" t="s">
        <v>175</v>
      </c>
    </row>
    <row r="22" spans="1:36" ht="26.6" thickTop="1">
      <c r="A22" s="8" t="s">
        <v>44</v>
      </c>
      <c r="B22" s="3"/>
      <c r="C22" s="3"/>
      <c r="D22" s="3"/>
      <c r="M22" s="82" t="s">
        <v>52</v>
      </c>
      <c r="N22" s="83">
        <f>N23*10</f>
        <v>89484.379376425233</v>
      </c>
      <c r="O22" s="83">
        <f t="shared" ref="O22:R24" si="1">O23*10</f>
        <v>242341.32871836878</v>
      </c>
      <c r="P22" s="83">
        <f t="shared" si="1"/>
        <v>398501.67099178018</v>
      </c>
      <c r="Q22" s="83">
        <f t="shared" si="1"/>
        <v>556416.94076003402</v>
      </c>
      <c r="R22" s="84">
        <f t="shared" si="1"/>
        <v>714538.6725865046</v>
      </c>
    </row>
    <row r="23" spans="1:36" ht="26.15">
      <c r="B23" s="4"/>
      <c r="C23" s="4"/>
      <c r="D23" s="4"/>
      <c r="M23" s="82" t="s">
        <v>53</v>
      </c>
      <c r="N23" s="83">
        <f>N24*10</f>
        <v>8948.437937642524</v>
      </c>
      <c r="O23" s="83">
        <f t="shared" si="1"/>
        <v>24234.132871836879</v>
      </c>
      <c r="P23" s="83">
        <f t="shared" si="1"/>
        <v>39850.167099178019</v>
      </c>
      <c r="Q23" s="83">
        <f t="shared" si="1"/>
        <v>55641.694076003405</v>
      </c>
      <c r="R23" s="84">
        <f t="shared" si="1"/>
        <v>71453.867258650454</v>
      </c>
    </row>
    <row r="24" spans="1:36" ht="26.15">
      <c r="M24" s="82" t="s">
        <v>54</v>
      </c>
      <c r="N24" s="83">
        <f>N25*10</f>
        <v>894.8437937642525</v>
      </c>
      <c r="O24" s="83">
        <f>O25*10</f>
        <v>2423.4132871836878</v>
      </c>
      <c r="P24" s="83">
        <f t="shared" si="1"/>
        <v>3985.016709917802</v>
      </c>
      <c r="Q24" s="83">
        <f t="shared" si="1"/>
        <v>5564.1694076003405</v>
      </c>
      <c r="R24" s="84">
        <f t="shared" si="1"/>
        <v>7145.3867258650462</v>
      </c>
    </row>
    <row r="25" spans="1:36" ht="26.6" thickBot="1">
      <c r="A25" s="242" t="s">
        <v>33</v>
      </c>
      <c r="B25" s="242"/>
      <c r="C25" s="242"/>
      <c r="D25" s="242"/>
      <c r="E25" s="242"/>
      <c r="F25" s="242"/>
      <c r="G25" s="242"/>
      <c r="H25" s="242"/>
      <c r="I25" s="242"/>
      <c r="J25" s="242"/>
      <c r="M25" s="82" t="s">
        <v>55</v>
      </c>
      <c r="N25" s="83">
        <v>89.484379376425252</v>
      </c>
      <c r="O25" s="85">
        <f>O26*10</f>
        <v>242.34132871836877</v>
      </c>
      <c r="P25" s="85">
        <f>P26*10</f>
        <v>398.5016709917802</v>
      </c>
      <c r="Q25" s="85">
        <f t="shared" ref="Q25:R25" si="2">Q26*10</f>
        <v>556.41694076003409</v>
      </c>
      <c r="R25" s="86">
        <f t="shared" si="2"/>
        <v>714.53867258650462</v>
      </c>
    </row>
    <row r="26" spans="1:36" ht="27" thickTop="1" thickBot="1">
      <c r="A26" s="25" t="s">
        <v>21</v>
      </c>
      <c r="B26" s="5"/>
      <c r="C26" s="5"/>
      <c r="D26" s="5"/>
      <c r="E26" s="5"/>
      <c r="F26" s="5"/>
      <c r="G26" s="5"/>
      <c r="H26" s="113"/>
      <c r="I26" s="5"/>
      <c r="J26" s="5"/>
      <c r="K26" s="6"/>
      <c r="M26" s="82" t="s">
        <v>56</v>
      </c>
      <c r="N26" s="83">
        <v>8.9484379376425274</v>
      </c>
      <c r="O26" s="85">
        <v>24.234132871836877</v>
      </c>
      <c r="P26" s="85">
        <v>39.850167099178023</v>
      </c>
      <c r="Q26" s="85">
        <v>55.641694076003404</v>
      </c>
      <c r="R26" s="86">
        <v>71.453867258650462</v>
      </c>
    </row>
    <row r="27" spans="1:36" ht="31.75" thickTop="1" thickBot="1">
      <c r="A27" s="27" t="s">
        <v>0</v>
      </c>
      <c r="B27" s="28"/>
      <c r="C27" s="28"/>
      <c r="D27" s="28"/>
      <c r="E27" s="28"/>
      <c r="F27" s="29"/>
      <c r="G27" s="176" t="s">
        <v>7</v>
      </c>
      <c r="H27" s="114"/>
      <c r="I27" s="10"/>
      <c r="J27" s="10"/>
      <c r="K27" s="11"/>
      <c r="M27" s="87" t="s">
        <v>20</v>
      </c>
      <c r="N27" s="88">
        <v>2.1476251050342056E-4</v>
      </c>
      <c r="O27" s="89">
        <v>5.8161918892408494E-4</v>
      </c>
      <c r="P27" s="89">
        <v>9.5640401038027249E-4</v>
      </c>
      <c r="Q27" s="89">
        <v>1.3354006578240817E-3</v>
      </c>
      <c r="R27" s="90">
        <v>1.7148928142076113E-3</v>
      </c>
    </row>
    <row r="28" spans="1:36" ht="28.75" thickTop="1">
      <c r="A28" s="130" t="s">
        <v>13</v>
      </c>
      <c r="B28" s="30" t="s">
        <v>9</v>
      </c>
      <c r="C28" s="31" t="s">
        <v>2</v>
      </c>
      <c r="D28" s="162">
        <f>B11</f>
        <v>25</v>
      </c>
      <c r="E28" s="31" t="s">
        <v>88</v>
      </c>
      <c r="F28" s="32"/>
      <c r="G28" s="178" t="s">
        <v>16</v>
      </c>
      <c r="H28" s="179" t="s">
        <v>2</v>
      </c>
      <c r="I28" s="186">
        <f>(D30-2*D28*(B34/D34))*(D31-2*D28*(B34/D34))</f>
        <v>112500</v>
      </c>
      <c r="J28" s="264" t="s">
        <v>163</v>
      </c>
      <c r="K28" s="265"/>
    </row>
    <row r="29" spans="1:36" ht="28.3">
      <c r="A29" s="23"/>
      <c r="B29" s="33" t="s">
        <v>15</v>
      </c>
      <c r="C29" s="34" t="s">
        <v>2</v>
      </c>
      <c r="D29" s="163">
        <v>2</v>
      </c>
      <c r="E29" s="34" t="s">
        <v>88</v>
      </c>
      <c r="F29" s="36" t="s">
        <v>22</v>
      </c>
      <c r="G29" s="180" t="s">
        <v>17</v>
      </c>
      <c r="H29" s="181" t="s">
        <v>2</v>
      </c>
      <c r="I29" s="187">
        <f>((D31-2*D28*(B34/D34))+(D31-D29*B34/D34*2))* ( (SQRT(B34^2+D34^2)/D34) *(D28-D29) )  +  ((D30-2*D28*(B34/D34)) + (D30-D29*B34/D34*2))* ( (SQRT(B34^2+D34^2)/D34) *(D28-D29) )</f>
        <v>121899.47924417071</v>
      </c>
      <c r="J29" s="251" t="s">
        <v>163</v>
      </c>
      <c r="K29" s="252"/>
    </row>
    <row r="30" spans="1:36" ht="28.75" thickBot="1">
      <c r="A30" s="23"/>
      <c r="B30" s="33" t="s">
        <v>72</v>
      </c>
      <c r="C30" s="34" t="s">
        <v>2</v>
      </c>
      <c r="D30" s="163">
        <f>B9</f>
        <v>400</v>
      </c>
      <c r="E30" s="34" t="s">
        <v>88</v>
      </c>
      <c r="F30" s="37"/>
      <c r="G30" s="180" t="s">
        <v>18</v>
      </c>
      <c r="H30" s="181" t="s">
        <v>2</v>
      </c>
      <c r="I30" s="187">
        <f>I29+I28</f>
        <v>234399.47924417071</v>
      </c>
      <c r="J30" s="251" t="s">
        <v>163</v>
      </c>
      <c r="K30" s="252"/>
      <c r="M30" s="238" t="s">
        <v>32</v>
      </c>
      <c r="N30" s="238"/>
      <c r="O30" s="239"/>
      <c r="P30" s="239"/>
    </row>
    <row r="31" spans="1:36" ht="25" customHeight="1" thickTop="1" thickBot="1">
      <c r="A31" s="23"/>
      <c r="B31" s="38" t="s">
        <v>71</v>
      </c>
      <c r="C31" s="39" t="s">
        <v>2</v>
      </c>
      <c r="D31" s="164">
        <f>B10</f>
        <v>600</v>
      </c>
      <c r="E31" s="39" t="s">
        <v>88</v>
      </c>
      <c r="F31" s="40"/>
      <c r="G31" s="180" t="s">
        <v>25</v>
      </c>
      <c r="H31" s="181" t="s">
        <v>2</v>
      </c>
      <c r="I31" s="187">
        <f>(I28+(D30-D29*B34/D34*2)*(D31-D29*B34/D34*2))*D28/2*W12</f>
        <v>31852428.186000001</v>
      </c>
      <c r="J31" s="251" t="s">
        <v>164</v>
      </c>
      <c r="K31" s="252"/>
      <c r="M31" s="53" t="s">
        <v>73</v>
      </c>
      <c r="N31" s="55">
        <f>B13</f>
        <v>9.9999999999999995E-8</v>
      </c>
      <c r="O31" s="249" t="s">
        <v>5</v>
      </c>
      <c r="P31" s="249"/>
      <c r="Q31" s="249"/>
      <c r="R31" s="250"/>
      <c r="W31" s="243" t="s">
        <v>176</v>
      </c>
      <c r="X31" s="244"/>
      <c r="Y31" s="244"/>
      <c r="Z31" s="244"/>
      <c r="AA31" s="244"/>
      <c r="AB31" s="244"/>
      <c r="AC31" s="244"/>
      <c r="AD31" s="245"/>
      <c r="AE31" s="121"/>
      <c r="AF31" s="121"/>
      <c r="AG31" s="121"/>
      <c r="AH31" s="121"/>
      <c r="AI31" s="121"/>
      <c r="AJ31" s="121"/>
    </row>
    <row r="32" spans="1:36" ht="29.05" customHeight="1" thickTop="1" thickBot="1">
      <c r="A32" s="131" t="s">
        <v>115</v>
      </c>
      <c r="B32" s="41" t="s">
        <v>14</v>
      </c>
      <c r="C32" s="42"/>
      <c r="D32" s="43"/>
      <c r="E32" s="44"/>
      <c r="F32" s="45"/>
      <c r="G32" s="180"/>
      <c r="H32" s="181"/>
      <c r="I32" s="188"/>
      <c r="J32" s="251"/>
      <c r="K32" s="252"/>
      <c r="M32" s="54" t="s">
        <v>74</v>
      </c>
      <c r="N32" s="56">
        <f>B14</f>
        <v>9.9999999999999998E-13</v>
      </c>
      <c r="O32" s="236" t="s">
        <v>5</v>
      </c>
      <c r="P32" s="236"/>
      <c r="Q32" s="236"/>
      <c r="R32" s="237"/>
      <c r="W32" s="246"/>
      <c r="X32" s="247"/>
      <c r="Y32" s="247"/>
      <c r="Z32" s="247"/>
      <c r="AA32" s="247"/>
      <c r="AB32" s="247"/>
      <c r="AC32" s="247"/>
      <c r="AD32" s="248"/>
      <c r="AE32" s="122"/>
      <c r="AF32" s="122"/>
      <c r="AG32" s="122"/>
      <c r="AH32" s="122"/>
      <c r="AI32" s="122"/>
      <c r="AJ32" s="122"/>
    </row>
    <row r="33" spans="1:36" ht="83.15" thickTop="1" thickBot="1">
      <c r="A33" s="23"/>
      <c r="B33" s="46" t="s">
        <v>1</v>
      </c>
      <c r="C33" s="34"/>
      <c r="D33" s="47" t="s">
        <v>4</v>
      </c>
      <c r="E33" s="34"/>
      <c r="F33" s="37"/>
      <c r="G33" s="182" t="s">
        <v>31</v>
      </c>
      <c r="H33" s="181"/>
      <c r="I33" s="188"/>
      <c r="J33" s="251"/>
      <c r="K33" s="252"/>
      <c r="M33" s="57" t="s">
        <v>28</v>
      </c>
      <c r="N33" s="58" t="s">
        <v>29</v>
      </c>
      <c r="O33" s="59" t="s">
        <v>58</v>
      </c>
      <c r="P33" s="60" t="s">
        <v>57</v>
      </c>
      <c r="Q33" s="61" t="s">
        <v>62</v>
      </c>
      <c r="R33" s="62" t="s">
        <v>59</v>
      </c>
      <c r="W33" s="194" t="s">
        <v>97</v>
      </c>
      <c r="X33" s="195" t="s">
        <v>98</v>
      </c>
      <c r="Y33" s="195" t="s">
        <v>100</v>
      </c>
      <c r="Z33" s="195" t="s">
        <v>99</v>
      </c>
      <c r="AA33" s="196" t="s">
        <v>129</v>
      </c>
      <c r="AB33" s="196" t="s">
        <v>126</v>
      </c>
      <c r="AC33" s="196" t="s">
        <v>125</v>
      </c>
      <c r="AD33" s="197" t="s">
        <v>128</v>
      </c>
      <c r="AE33" s="123"/>
      <c r="AF33" s="123"/>
      <c r="AG33" s="123"/>
      <c r="AH33" s="123"/>
      <c r="AI33" s="123"/>
      <c r="AJ33" s="123"/>
    </row>
    <row r="34" spans="1:36" ht="29.15" thickTop="1" thickBot="1">
      <c r="A34" s="24"/>
      <c r="B34" s="165">
        <v>3</v>
      </c>
      <c r="C34" s="48" t="s">
        <v>3</v>
      </c>
      <c r="D34" s="166">
        <v>1</v>
      </c>
      <c r="E34" s="48"/>
      <c r="F34" s="49"/>
      <c r="G34" s="180" t="s">
        <v>8</v>
      </c>
      <c r="H34" s="181" t="s">
        <v>2</v>
      </c>
      <c r="I34" s="188">
        <f>(D28-D29)/D35</f>
        <v>230</v>
      </c>
      <c r="J34" s="251"/>
      <c r="K34" s="252"/>
      <c r="M34" s="63">
        <v>5</v>
      </c>
      <c r="N34" s="64">
        <f>(($D$30-2*M34*($B$34/$D$34))*($D$31-2*M34*($B$34/$D$34))+($D$30-$D$29*$B$34/$D$34*2)*($D$31-$D$29*$B$34/$D$34*2))*M34/2*7.48052</f>
        <v>8210693.5572000006</v>
      </c>
      <c r="O34" s="65">
        <f>$N$31*((M34-$D$29)/($D$35))*((($D$30-2*M34*($B$34/$D$34))*($D$31-2*M34*($B$34/$D$34)))+((($D$31-2*M34*($B$34/$D$34))+($D$31-$D$29*$B$34/$D$34*2))* ( (SQRT($B$34^2+$D$34^2)/$D$34) *(M34-$D$29) )  +  (($D$30-2*M34*($B$34/$D$34)) + ($D$30-$D$29*$B$34/$D$34*2))* ( (SQRT($B$34^2+$D$34^2)/$D$34) *(M34-$D$29) )))*$W$11*$W$13*3600*24</f>
        <v>14572.450017384865</v>
      </c>
      <c r="P34" s="66">
        <f>$N$32*((M34-$D$29)/($D$37/12))*((($D$30-2*M34*($B$34/$D$34))*($D$31-2*M34*($B$34/$D$34)))+((($D$31-2*M34*($B$34/$D$34))+($D$31-$D$29*$B$34/$D$34*2))* ( (SQRT($B$34^2+$D$34^2)/$D$34) *(M34-$D$29) )  +  (($D$30-2*M34*($B$34/$D$34)) + ($D$30-$D$29*$B$34/$D$34*2))* ( (SQRT($B$34^2+$D$34^2)/$D$34) *(M34-$D$29) )))*$W$11*$W$13*3600*24</f>
        <v>6.884622055457415E-2</v>
      </c>
      <c r="Q34" s="67">
        <f t="shared" ref="Q34:R38" si="3">O34/$W$15*$B$17</f>
        <v>1118.0301746338714</v>
      </c>
      <c r="R34" s="68">
        <f t="shared" si="3"/>
        <v>5.282032321104903E-3</v>
      </c>
      <c r="W34" s="198">
        <f>$W$21*$P34+(AVERAGE($I$46,$J$46))+$I$42</f>
        <v>21.977279270371039</v>
      </c>
      <c r="X34" s="199">
        <f>$W$21*$P34+(AVERAGE($I$50,$J$50))+$I$42</f>
        <v>21.874841818147036</v>
      </c>
      <c r="Y34" s="199">
        <f>$W$21*$P34+(AVERAGE($I$54,$J$54))+$I$42</f>
        <v>21.837452111875038</v>
      </c>
      <c r="Z34" s="199">
        <f>$W$21*$P34+(AVERAGE($I$58,$J$58))+$I$42</f>
        <v>21.837198393307037</v>
      </c>
      <c r="AA34" s="199">
        <f>$W$21*$P34+(AVERAGE($I$62,$J$62))+$I$42</f>
        <v>21.836918372937436</v>
      </c>
      <c r="AB34" s="200">
        <f>$W$21*$P34+(AVERAGE($I$66,$J$66))+$I$42</f>
        <v>21.836925219964638</v>
      </c>
      <c r="AC34" s="199">
        <f t="shared" ref="AC34:AD38" si="4">$W$21*$P34+(AVERAGE($I$70,$J$70))+$I$42</f>
        <v>21.836911525910239</v>
      </c>
      <c r="AD34" s="201">
        <f t="shared" si="4"/>
        <v>21.836911525910239</v>
      </c>
      <c r="AE34" s="125"/>
      <c r="AF34" s="125"/>
      <c r="AG34" s="125"/>
      <c r="AH34" s="125"/>
      <c r="AI34" s="125"/>
      <c r="AJ34" s="125"/>
    </row>
    <row r="35" spans="1:36" ht="28.75" thickTop="1">
      <c r="A35" s="129" t="s">
        <v>10</v>
      </c>
      <c r="B35" s="116" t="s">
        <v>178</v>
      </c>
      <c r="C35" s="44" t="s">
        <v>2</v>
      </c>
      <c r="D35" s="167">
        <v>0.1</v>
      </c>
      <c r="E35" s="44" t="s">
        <v>88</v>
      </c>
      <c r="F35" s="45" t="s">
        <v>23</v>
      </c>
      <c r="G35" s="180" t="s">
        <v>19</v>
      </c>
      <c r="H35" s="181" t="s">
        <v>2</v>
      </c>
      <c r="I35" s="189">
        <f>D36*I34*I30*W19</f>
        <v>53911.880226159265</v>
      </c>
      <c r="J35" s="251" t="s">
        <v>166</v>
      </c>
      <c r="K35" s="252"/>
      <c r="M35" s="63">
        <v>10</v>
      </c>
      <c r="N35" s="64">
        <f>(($D$30-2*M35*($B$34/$D$34))*($D$31-2*M35*($B$34/$D$34))+($D$30-$D$29*$B$34/$D$34*2)*($D$31-$D$29*$B$34/$D$34*2))*M35/2*7.48052</f>
        <v>15400296.134400001</v>
      </c>
      <c r="O35" s="65">
        <f>$N$31*((M35-$D$29)/($D$35))*((($D$30-2*M35*($B$34/$D$34))*($D$31-2*M35*($B$34/$D$34)))+((($D$31-2*M35*($B$34/$D$34))+($D$31-$D$29*$B$34/$D$34*2))* ( (SQRT($B$34^2+$D$34^2)/$D$34) *(M35-$D$29) )  +  (($D$30-2*M35*($B$34/$D$34)) + ($D$30-$D$29*$B$34/$D$34*2))* ( (SQRT($B$34^2+$D$34^2)/$D$34) *(M35-$D$29) )))*$W$11*$W$13*3600*24</f>
        <v>39110.374010329288</v>
      </c>
      <c r="P35" s="66">
        <f>$N$32*((M35-$D$29)/($D$37/12))*((($D$30-2*M35*($B$34/$D$34))*($D$31-2*M35*($B$34/$D$34)))+((($D$31-2*M35*($B$34/$D$34))+($D$31-$D$29*$B$34/$D$34*2))* ( (SQRT($B$34^2+$D$34^2)/$D$34) *(M35-$D$29) )  +  (($D$30-2*M35*($B$34/$D$34)) + ($D$30-$D$29*$B$34/$D$34*2))* ( (SQRT($B$34^2+$D$34^2)/$D$34) *(M35-$D$29) )))*$W$11*$W$13*3600*24</f>
        <v>0.18477342052124074</v>
      </c>
      <c r="Q35" s="69">
        <f t="shared" si="3"/>
        <v>3000.633265689632</v>
      </c>
      <c r="R35" s="70">
        <f t="shared" si="3"/>
        <v>1.4176220152864401E-2</v>
      </c>
      <c r="W35" s="202">
        <f>$W$21*$P35+(AVERAGE($I$46,$J$46))+$I$42</f>
        <v>21.977718102353062</v>
      </c>
      <c r="X35" s="124">
        <f>$W$21*$P35+(AVERAGE($I$50,$J$50))+$I$42</f>
        <v>21.875280650129064</v>
      </c>
      <c r="Y35" s="124">
        <f>$W$21*$P35+(AVERAGE($I$54,$J$54))+$I$42</f>
        <v>21.837890943857062</v>
      </c>
      <c r="Z35" s="124">
        <f>$W$21*$P35+(AVERAGE($I$58,$J$58))+$I$42</f>
        <v>21.837637225289065</v>
      </c>
      <c r="AA35" s="124">
        <f>$W$21*$P35+(AVERAGE($I$62,$J$62))+$I$42</f>
        <v>21.837357204919464</v>
      </c>
      <c r="AB35" s="203">
        <f>$W$21*$P35+(AVERAGE($I$66,$J$66))+$I$42</f>
        <v>21.837364051946665</v>
      </c>
      <c r="AC35" s="124">
        <f t="shared" si="4"/>
        <v>21.837350357892262</v>
      </c>
      <c r="AD35" s="204">
        <f t="shared" si="4"/>
        <v>21.837350357892262</v>
      </c>
      <c r="AE35" s="125"/>
      <c r="AF35" s="125"/>
      <c r="AG35" s="125"/>
      <c r="AH35" s="125"/>
      <c r="AI35" s="125"/>
      <c r="AJ35" s="125"/>
    </row>
    <row r="36" spans="1:36" ht="28.3">
      <c r="A36" s="128" t="s">
        <v>31</v>
      </c>
      <c r="B36" s="33" t="s">
        <v>83</v>
      </c>
      <c r="C36" s="34" t="s">
        <v>2</v>
      </c>
      <c r="D36" s="50">
        <f>B13</f>
        <v>9.9999999999999995E-8</v>
      </c>
      <c r="E36" s="34" t="s">
        <v>5</v>
      </c>
      <c r="F36" s="37"/>
      <c r="G36" s="183" t="s">
        <v>6</v>
      </c>
      <c r="H36" s="181"/>
      <c r="I36" s="188"/>
      <c r="J36" s="251"/>
      <c r="K36" s="252"/>
      <c r="M36" s="63">
        <v>15</v>
      </c>
      <c r="N36" s="64">
        <f>(($D$30-2*M36*($B$34/$D$34))*($D$31-2*M36*($B$34/$D$34))+($D$30-$D$29*$B$34/$D$34*2)*($D$31-$D$29*$B$34/$D$34*2))*M36/2*7.48052</f>
        <v>21669794.751600001</v>
      </c>
      <c r="O36" s="65">
        <f>$N$31*((M36-$D$29)/($D$35))*((($D$30-2*M36*($B$34/$D$34))*($D$31-2*M36*($B$34/$D$34)))+((($D$31-2*M36*($B$34/$D$34))+($D$31-$D$29*$B$34/$D$34*2))* ( (SQRT($B$34^2+$D$34^2)/$D$34) *(M36-$D$29) )  +  (($D$30-2*M36*($B$34/$D$34)) + ($D$30-$D$29*$B$34/$D$34*2))* ( (SQRT($B$34^2+$D$34^2)/$D$34) *(M36-$D$29) )))*$W$11*$W$13*3600*24</f>
        <v>63934.592057334274</v>
      </c>
      <c r="P36" s="66">
        <f>$N$32*((M36-$D$29)/($D$37/12))*((($D$30-2*M36*($B$34/$D$34))*($D$31-2*M36*($B$34/$D$34)))+((($D$31-2*M36*($B$34/$D$34))+($D$31-$D$29*$B$34/$D$34*2))* ( (SQRT($B$34^2+$D$34^2)/$D$34) *(M36-$D$29) )  +  (($D$30-2*M36*($B$34/$D$34)) + ($D$30-$D$29*$B$34/$D$34*2))* ( (SQRT($B$34^2+$D$34^2)/$D$34) *(M36-$D$29) )))*$W$11*$W$13*3600*24</f>
        <v>0.30205319082205168</v>
      </c>
      <c r="Q36" s="69">
        <f t="shared" si="3"/>
        <v>4905.2014615065073</v>
      </c>
      <c r="R36" s="70">
        <f t="shared" si="3"/>
        <v>2.3174180133101609E-2</v>
      </c>
      <c r="W36" s="202">
        <f>$W$21*$P36+(AVERAGE($I$46,$J$46))+$I$42</f>
        <v>21.978162054368358</v>
      </c>
      <c r="X36" s="124">
        <f>$W$21*$P36+(AVERAGE($I$50,$J$50))+$I$42</f>
        <v>21.875724602144359</v>
      </c>
      <c r="Y36" s="124">
        <f>$W$21*$P36+(AVERAGE($I$54,$J$54))+$I$42</f>
        <v>21.838334895872357</v>
      </c>
      <c r="Z36" s="124">
        <f>$W$21*$P36+(AVERAGE($I$58,$J$58))+$I$42</f>
        <v>21.838081177304357</v>
      </c>
      <c r="AA36" s="124">
        <f>$W$21*$P36+(AVERAGE($I$62,$J$62))+$I$42</f>
        <v>21.837801156934759</v>
      </c>
      <c r="AB36" s="203">
        <f>$W$21*$P36+(AVERAGE($I$66,$J$66))+$I$42</f>
        <v>21.837808003961957</v>
      </c>
      <c r="AC36" s="124">
        <f t="shared" si="4"/>
        <v>21.837794309907558</v>
      </c>
      <c r="AD36" s="204">
        <f t="shared" si="4"/>
        <v>21.837794309907558</v>
      </c>
      <c r="AE36" s="125"/>
      <c r="AF36" s="125"/>
      <c r="AG36" s="125"/>
      <c r="AH36" s="125"/>
      <c r="AI36" s="125"/>
      <c r="AJ36" s="125"/>
    </row>
    <row r="37" spans="1:36" ht="26.15">
      <c r="A37" s="26"/>
      <c r="B37" s="115" t="s">
        <v>6</v>
      </c>
      <c r="C37" s="34" t="s">
        <v>2</v>
      </c>
      <c r="D37" s="35">
        <v>2.54</v>
      </c>
      <c r="E37" s="34" t="s">
        <v>165</v>
      </c>
      <c r="F37" s="37" t="s">
        <v>23</v>
      </c>
      <c r="G37" s="180" t="s">
        <v>8</v>
      </c>
      <c r="H37" s="181" t="s">
        <v>2</v>
      </c>
      <c r="I37" s="229">
        <f>(D28-D29)/(D37/100)</f>
        <v>905.51181102362204</v>
      </c>
      <c r="J37" s="251"/>
      <c r="K37" s="252"/>
      <c r="M37" s="63">
        <v>20</v>
      </c>
      <c r="N37" s="64">
        <f>(($D$30-2*M37*($B$34/$D$34))*($D$31-2*M37*($B$34/$D$34))+($D$30-$D$29*$B$34/$D$34*2)*($D$31-$D$29*$B$34/$D$34*2))*M37/2*7.48052</f>
        <v>27120176.428800002</v>
      </c>
      <c r="O37" s="65">
        <f>$N$31*((M37-$D$29)/($D$35))*((($D$30-2*M37*($B$34/$D$34))*($D$31-2*M37*($B$34/$D$34)))+((($D$31-2*M37*($B$34/$D$34))+($D$31-$D$29*$B$34/$D$34*2))* ( (SQRT($B$34^2+$D$34^2)/$D$34) *(M37-$D$29) )  +  (($D$30-2*M37*($B$34/$D$34)) + ($D$30-$D$29*$B$34/$D$34*2))* ( (SQRT($B$34^2+$D$34^2)/$D$34) *(M37-$D$29) )))*$W$11*$W$13*3600*24</f>
        <v>89014.134849667302</v>
      </c>
      <c r="P37" s="66">
        <f>$N$32*((M37-$D$29)/($D$37/12))*((($D$30-2*M37*($B$34/$D$34))*($D$31-2*M37*($B$34/$D$34)))+((($D$31-2*M37*($B$34/$D$34))+($D$31-$D$29*$B$34/$D$34*2))* ( (SQRT($B$34^2+$D$34^2)/$D$34) *(M37-$D$29) )  +  (($D$30-2*M37*($B$34/$D$34)) + ($D$30-$D$29*$B$34/$D$34*2))* ( (SQRT($B$34^2+$D$34^2)/$D$34) *(M37-$D$29) )))*$W$11*$W$13*3600*24</f>
        <v>0.42053921976220765</v>
      </c>
      <c r="Q37" s="69">
        <f t="shared" si="3"/>
        <v>6829.358729117549</v>
      </c>
      <c r="R37" s="70">
        <f t="shared" si="3"/>
        <v>3.2264686909216765E-2</v>
      </c>
      <c r="W37" s="202">
        <f>$W$21*$P37+(AVERAGE($I$46,$J$46))+$I$42</f>
        <v>21.978610572567167</v>
      </c>
      <c r="X37" s="124">
        <f>$W$21*$P37+(AVERAGE($I$50,$J$50))+$I$42</f>
        <v>21.876173120343168</v>
      </c>
      <c r="Y37" s="124">
        <f>$W$21*$P37+(AVERAGE($I$54,$J$54))+$I$42</f>
        <v>21.83878341407117</v>
      </c>
      <c r="Z37" s="124">
        <f>$W$21*$P37+(AVERAGE($I$58,$J$58))+$I$42</f>
        <v>21.838529695503169</v>
      </c>
      <c r="AA37" s="124">
        <f>$W$21*$P37+(AVERAGE($I$62,$J$62))+$I$42</f>
        <v>21.838249675133568</v>
      </c>
      <c r="AB37" s="203">
        <f>$W$21*$P37+(AVERAGE($I$66,$J$66))+$I$42</f>
        <v>21.838256522160769</v>
      </c>
      <c r="AC37" s="124">
        <f t="shared" si="4"/>
        <v>21.838242828106367</v>
      </c>
      <c r="AD37" s="204">
        <f t="shared" si="4"/>
        <v>21.838242828106367</v>
      </c>
      <c r="AE37" s="125"/>
      <c r="AF37" s="125"/>
      <c r="AG37" s="125"/>
      <c r="AH37" s="125"/>
      <c r="AI37" s="125"/>
      <c r="AJ37" s="125"/>
    </row>
    <row r="38" spans="1:36" ht="26.6" thickBot="1">
      <c r="A38" s="26"/>
      <c r="B38" s="33" t="s">
        <v>83</v>
      </c>
      <c r="C38" s="34" t="s">
        <v>2</v>
      </c>
      <c r="D38" s="107">
        <f>B14</f>
        <v>9.9999999999999998E-13</v>
      </c>
      <c r="E38" s="34" t="s">
        <v>5</v>
      </c>
      <c r="F38" s="37"/>
      <c r="G38" s="180" t="s">
        <v>84</v>
      </c>
      <c r="H38" s="181" t="s">
        <v>2</v>
      </c>
      <c r="I38" s="228">
        <f>D38*I37*I30*W19</f>
        <v>2.1225149695338295</v>
      </c>
      <c r="J38" s="251" t="s">
        <v>166</v>
      </c>
      <c r="K38" s="252"/>
      <c r="M38" s="71">
        <v>25</v>
      </c>
      <c r="N38" s="72">
        <f>(($D$30-2*M38*($B$34/$D$34))*($D$31-2*M38*($B$34/$D$34))+($D$30-$D$29*$B$34/$D$34*2)*($D$31-$D$29*$B$34/$D$34*2))*M38/2*7.48052</f>
        <v>31852428.186000001</v>
      </c>
      <c r="O38" s="73">
        <f>$N$31*((M38-$D$29)/($D$35))*((($D$30-2*M38*($B$34/$D$34))*($D$31-2*M38*($B$34/$D$34)))+((($D$31-2*M38*($B$34/$D$34))+($D$31-$D$29*$B$34/$D$34*2))* ( (SQRT($B$34^2+$D$34^2)/$D$34) *(M38-$D$29) )  +  (($D$30-2*M38*($B$34/$D$34)) + ($D$30-$D$29*$B$34/$D$34*2))* ( (SQRT($B$34^2+$D$34^2)/$D$34) *(M38-$D$29) )))*$W$11*$W$13*3600*24</f>
        <v>114318.03307859585</v>
      </c>
      <c r="P38" s="74">
        <f>$N$32*((M38-$D$29)/($D$37/12))*((($D$30-2*M38*($B$34/$D$34))*($D$31-2*M38*($B$34/$D$34)))+((($D$31-2*M38*($B$34/$D$34))+($D$31-$D$29*$B$34/$D$34*2))* ( (SQRT($B$34^2+$D$34^2)/$D$34) *(M38-$D$29) )  +  (($D$30-2*M38*($B$34/$D$34)) + ($D$30-$D$29*$B$34/$D$34*2))* ( (SQRT($B$34^2+$D$34^2)/$D$34) *(M38-$D$29) )))*$W$11*$W$13*3600*24</f>
        <v>0.54008519564690949</v>
      </c>
      <c r="Q38" s="75">
        <f t="shared" si="3"/>
        <v>8770.7290355558107</v>
      </c>
      <c r="R38" s="76">
        <f t="shared" si="3"/>
        <v>4.1436515128610123E-2</v>
      </c>
      <c r="W38" s="205">
        <f>$W$21*$P38+(AVERAGE($I$46,$J$46))+$I$42</f>
        <v>21.97906310309974</v>
      </c>
      <c r="X38" s="206">
        <f>$W$21*$P38+(AVERAGE($I$50,$J$50))+$I$42</f>
        <v>21.876625650875742</v>
      </c>
      <c r="Y38" s="206">
        <f>$W$21*$P38+(AVERAGE($I$54,$J$54))+$I$42</f>
        <v>21.839235944603743</v>
      </c>
      <c r="Z38" s="206">
        <f>$W$21*$P38+(AVERAGE($I$58,$J$58))+$I$42</f>
        <v>21.838982226035743</v>
      </c>
      <c r="AA38" s="206">
        <f>$W$21*$P38+(AVERAGE($I$62,$J$62))+$I$42</f>
        <v>21.838702205666142</v>
      </c>
      <c r="AB38" s="207">
        <f>$W$21*$P38+(AVERAGE($I$66,$J$66))+$I$42</f>
        <v>21.838709052693343</v>
      </c>
      <c r="AC38" s="206">
        <f t="shared" si="4"/>
        <v>21.83869535863894</v>
      </c>
      <c r="AD38" s="208">
        <f t="shared" si="4"/>
        <v>21.83869535863894</v>
      </c>
      <c r="AE38" s="125"/>
      <c r="AF38" s="125"/>
      <c r="AG38" s="125"/>
      <c r="AH38" s="125"/>
      <c r="AI38" s="125"/>
      <c r="AJ38" s="125"/>
    </row>
    <row r="39" spans="1:36" ht="31.3" thickTop="1">
      <c r="A39" s="128" t="s">
        <v>112</v>
      </c>
      <c r="B39" s="115" t="s">
        <v>105</v>
      </c>
      <c r="C39" s="106"/>
      <c r="D39" s="106"/>
      <c r="E39" s="106"/>
      <c r="F39" s="37"/>
      <c r="G39" s="182" t="s">
        <v>106</v>
      </c>
      <c r="H39" s="181"/>
      <c r="I39" s="188"/>
      <c r="J39" s="251"/>
      <c r="K39" s="252"/>
      <c r="M39" s="1"/>
      <c r="N39" s="1"/>
      <c r="O39" s="1"/>
      <c r="P39" s="1"/>
      <c r="W39" s="193"/>
      <c r="X39" s="193"/>
      <c r="Y39" s="193"/>
      <c r="Z39" s="193"/>
      <c r="AA39" s="193"/>
      <c r="AB39" s="193"/>
      <c r="AC39" s="193"/>
      <c r="AD39" s="193"/>
    </row>
    <row r="40" spans="1:36" ht="28.3">
      <c r="A40" s="26"/>
      <c r="B40" s="103" t="s">
        <v>104</v>
      </c>
      <c r="C40" s="34" t="s">
        <v>2</v>
      </c>
      <c r="D40" s="168">
        <v>4</v>
      </c>
      <c r="E40" s="101" t="s">
        <v>94</v>
      </c>
      <c r="F40" s="101"/>
      <c r="G40" s="180" t="s">
        <v>92</v>
      </c>
      <c r="H40" s="181" t="s">
        <v>2</v>
      </c>
      <c r="I40" s="230">
        <f>(0.21*(1+(0.1*((((D43*100)/(D37))^0.95)))*((D42*10000)^0.1)*((D43*100)^0.95)*((D36)^0.74)))</f>
        <v>0.21026171780127503</v>
      </c>
      <c r="J40" s="251" t="s">
        <v>166</v>
      </c>
      <c r="K40" s="252"/>
      <c r="L40" s="231"/>
    </row>
    <row r="41" spans="1:36" ht="28.3">
      <c r="A41" s="26"/>
      <c r="B41" s="104" t="s">
        <v>85</v>
      </c>
      <c r="C41" s="34" t="s">
        <v>2</v>
      </c>
      <c r="D41" s="169">
        <f>D40*(I30/10000)</f>
        <v>93.759791697668291</v>
      </c>
      <c r="E41" s="101" t="s">
        <v>86</v>
      </c>
      <c r="F41" s="37"/>
      <c r="G41" s="180" t="s">
        <v>93</v>
      </c>
      <c r="H41" s="181" t="s">
        <v>2</v>
      </c>
      <c r="I41" s="190">
        <f>I40*D41</f>
        <v>19.71409486304146</v>
      </c>
      <c r="J41" s="251" t="s">
        <v>166</v>
      </c>
      <c r="K41" s="252"/>
    </row>
    <row r="42" spans="1:36" ht="28.3">
      <c r="A42" s="26"/>
      <c r="B42" s="105" t="s">
        <v>87</v>
      </c>
      <c r="C42" s="34" t="s">
        <v>2</v>
      </c>
      <c r="D42" s="170">
        <f>4/1000000</f>
        <v>3.9999999999999998E-6</v>
      </c>
      <c r="E42" s="102" t="s">
        <v>91</v>
      </c>
      <c r="F42" s="102" t="s">
        <v>111</v>
      </c>
      <c r="G42" s="180" t="s">
        <v>89</v>
      </c>
      <c r="H42" s="181" t="s">
        <v>2</v>
      </c>
      <c r="I42" s="191">
        <f>I41+I38</f>
        <v>21.836609832575288</v>
      </c>
      <c r="J42" s="251" t="s">
        <v>166</v>
      </c>
      <c r="K42" s="252"/>
      <c r="Q42" s="1"/>
    </row>
    <row r="43" spans="1:36" ht="28.75" thickBot="1">
      <c r="A43" s="26"/>
      <c r="B43" s="112" t="s">
        <v>90</v>
      </c>
      <c r="C43" s="48" t="s">
        <v>2</v>
      </c>
      <c r="D43" s="171">
        <v>1</v>
      </c>
      <c r="E43" s="111" t="s">
        <v>88</v>
      </c>
      <c r="F43" s="49"/>
      <c r="G43" s="184"/>
      <c r="H43" s="185"/>
      <c r="I43" s="192"/>
      <c r="J43" s="258"/>
      <c r="K43" s="259"/>
      <c r="Q43" s="1"/>
    </row>
    <row r="44" spans="1:36" ht="31.3" thickTop="1">
      <c r="A44" s="148"/>
      <c r="B44" s="261" t="s">
        <v>131</v>
      </c>
      <c r="C44" s="262"/>
      <c r="D44" s="262"/>
      <c r="E44" s="262"/>
      <c r="F44" s="263"/>
      <c r="G44" s="209" t="s">
        <v>116</v>
      </c>
      <c r="H44" s="210"/>
      <c r="I44" s="211" t="s">
        <v>101</v>
      </c>
      <c r="J44" s="212" t="s">
        <v>117</v>
      </c>
      <c r="K44" s="213"/>
      <c r="Q44" s="1"/>
    </row>
    <row r="45" spans="1:36" ht="78.45">
      <c r="A45" s="128" t="s">
        <v>113</v>
      </c>
      <c r="B45" s="160" t="s">
        <v>132</v>
      </c>
      <c r="C45" s="132"/>
      <c r="D45" s="160" t="s">
        <v>134</v>
      </c>
      <c r="E45" s="161" t="s">
        <v>133</v>
      </c>
      <c r="F45" s="151"/>
      <c r="G45" s="182" t="s">
        <v>154</v>
      </c>
      <c r="H45" s="181"/>
      <c r="I45" s="181"/>
      <c r="J45" s="181"/>
      <c r="K45" s="214"/>
      <c r="Q45" s="1"/>
    </row>
    <row r="46" spans="1:36" ht="26.15">
      <c r="A46" s="26"/>
      <c r="B46" s="133"/>
      <c r="C46" s="133"/>
      <c r="D46" s="133"/>
      <c r="E46" s="133"/>
      <c r="F46" s="133"/>
      <c r="G46" s="215" t="s">
        <v>118</v>
      </c>
      <c r="H46" s="181" t="s">
        <v>2</v>
      </c>
      <c r="I46" s="232">
        <f>((E49*$W$10*($W$10*E48*$D$36+2*(($D$38*$D$35*$E$75*$W$19)^0.5))*$E$73)/($D$35*100))</f>
        <v>0.14008540334400002</v>
      </c>
      <c r="J46" s="232">
        <f>((E49*$W$10*($W$10*E48*$D$36+2*(($D$38*$D$35*$E$76*$W$19)^0.5))*$E$73)/($D$35*100))</f>
        <v>0.14073224990399999</v>
      </c>
      <c r="K46" s="214" t="s">
        <v>169</v>
      </c>
    </row>
    <row r="47" spans="1:36" ht="26.15">
      <c r="A47" s="26"/>
      <c r="B47" s="159" t="s">
        <v>138</v>
      </c>
      <c r="C47" s="133"/>
      <c r="D47" s="133"/>
      <c r="E47" s="133"/>
      <c r="F47" s="133"/>
      <c r="G47" s="215" t="s">
        <v>130</v>
      </c>
      <c r="H47" s="181" t="s">
        <v>2</v>
      </c>
      <c r="I47" s="216">
        <f>$I$38+I46</f>
        <v>2.2626003728778294</v>
      </c>
      <c r="J47" s="216">
        <f>$I$38+J46</f>
        <v>2.2632472194378295</v>
      </c>
      <c r="K47" s="214" t="s">
        <v>169</v>
      </c>
    </row>
    <row r="48" spans="1:36" s="93" customFormat="1" ht="27" customHeight="1">
      <c r="A48" s="26"/>
      <c r="B48" s="134" t="s">
        <v>179</v>
      </c>
      <c r="C48" s="133" t="s">
        <v>2</v>
      </c>
      <c r="D48" s="135" t="s">
        <v>119</v>
      </c>
      <c r="E48" s="173">
        <v>0.85</v>
      </c>
      <c r="F48" s="136" t="s">
        <v>11</v>
      </c>
      <c r="G48" s="215" t="s">
        <v>136</v>
      </c>
      <c r="H48" s="181" t="s">
        <v>2</v>
      </c>
      <c r="I48" s="216">
        <f>I46+$I$42</f>
        <v>21.976695235919287</v>
      </c>
      <c r="J48" s="216">
        <f>J46+$I$42</f>
        <v>21.977342082479289</v>
      </c>
      <c r="K48" s="214" t="s">
        <v>169</v>
      </c>
    </row>
    <row r="49" spans="1:11" ht="30.9">
      <c r="A49" s="26"/>
      <c r="B49" s="134" t="s">
        <v>180</v>
      </c>
      <c r="C49" s="133" t="s">
        <v>2</v>
      </c>
      <c r="D49" s="135">
        <v>655</v>
      </c>
      <c r="E49" s="173">
        <v>655</v>
      </c>
      <c r="F49" s="136" t="s">
        <v>11</v>
      </c>
      <c r="G49" s="182" t="s">
        <v>155</v>
      </c>
      <c r="H49" s="181"/>
      <c r="I49" s="181"/>
      <c r="J49" s="181"/>
      <c r="K49" s="214"/>
    </row>
    <row r="50" spans="1:11" ht="26.15">
      <c r="A50" s="26"/>
      <c r="B50" s="155" t="s">
        <v>140</v>
      </c>
      <c r="C50" s="133"/>
      <c r="D50" s="135"/>
      <c r="E50" s="147"/>
      <c r="F50" s="136"/>
      <c r="G50" s="215" t="s">
        <v>118</v>
      </c>
      <c r="H50" s="181" t="s">
        <v>2</v>
      </c>
      <c r="I50" s="232">
        <f>((E52*$W$10*($W$10*E51*$D$36+2*(($D$38*$D$35*$E$75*$W$19)^0.5))*$E$73)/($D$35*100))</f>
        <v>3.7823241599999995E-2</v>
      </c>
      <c r="J50" s="232">
        <f>((E52*$W$10*($W$10*E51*$D$36+2*(($D$38*$D$35*$E$76*$W$19)^0.5))*$E$73)/($D$35*100))</f>
        <v>3.81195072E-2</v>
      </c>
      <c r="K50" s="214" t="s">
        <v>169</v>
      </c>
    </row>
    <row r="51" spans="1:11" ht="21" customHeight="1">
      <c r="A51" s="26"/>
      <c r="B51" s="134" t="s">
        <v>181</v>
      </c>
      <c r="C51" s="133" t="s">
        <v>2</v>
      </c>
      <c r="D51" s="135" t="s">
        <v>120</v>
      </c>
      <c r="E51" s="173">
        <v>0.5</v>
      </c>
      <c r="F51" s="136" t="s">
        <v>11</v>
      </c>
      <c r="G51" s="215" t="s">
        <v>130</v>
      </c>
      <c r="H51" s="181" t="s">
        <v>2</v>
      </c>
      <c r="I51" s="216">
        <f>$I$38+I50</f>
        <v>2.1603382111338294</v>
      </c>
      <c r="J51" s="216">
        <f>$I$38+J50</f>
        <v>2.1606344767338292</v>
      </c>
      <c r="K51" s="214" t="s">
        <v>169</v>
      </c>
    </row>
    <row r="52" spans="1:11" ht="28.3">
      <c r="A52" s="26"/>
      <c r="B52" s="134" t="s">
        <v>182</v>
      </c>
      <c r="C52" s="133" t="s">
        <v>2</v>
      </c>
      <c r="D52" s="135">
        <v>300</v>
      </c>
      <c r="E52" s="173">
        <v>300</v>
      </c>
      <c r="F52" s="136" t="s">
        <v>11</v>
      </c>
      <c r="G52" s="215" t="s">
        <v>136</v>
      </c>
      <c r="H52" s="181" t="s">
        <v>2</v>
      </c>
      <c r="I52" s="216">
        <f>I50+$I$42</f>
        <v>21.87443307417529</v>
      </c>
      <c r="J52" s="216">
        <f>J50+$I$42</f>
        <v>21.874729339775289</v>
      </c>
      <c r="K52" s="214" t="s">
        <v>169</v>
      </c>
    </row>
    <row r="53" spans="1:11" ht="32.25" customHeight="1">
      <c r="A53" s="26"/>
      <c r="B53" s="155" t="s">
        <v>141</v>
      </c>
      <c r="C53" s="137"/>
      <c r="D53" s="135"/>
      <c r="E53" s="147"/>
      <c r="F53" s="136"/>
      <c r="G53" s="182" t="s">
        <v>156</v>
      </c>
      <c r="H53" s="181"/>
      <c r="I53" s="181"/>
      <c r="J53" s="181"/>
      <c r="K53" s="214"/>
    </row>
    <row r="54" spans="1:11" ht="28.3">
      <c r="A54" s="26"/>
      <c r="B54" s="134" t="s">
        <v>183</v>
      </c>
      <c r="C54" s="133" t="s">
        <v>2</v>
      </c>
      <c r="D54" s="135" t="s">
        <v>121</v>
      </c>
      <c r="E54" s="173">
        <v>0.15</v>
      </c>
      <c r="F54" s="136" t="s">
        <v>11</v>
      </c>
      <c r="G54" s="215" t="s">
        <v>118</v>
      </c>
      <c r="H54" s="181" t="s">
        <v>2</v>
      </c>
      <c r="I54" s="232">
        <f>((E55*$W$10*($W$10*E54*$D$36+2*(($D$38*$D$35*$E$75*$W$19)^0.5))*$E$73)/($D$35*100))</f>
        <v>5.7426148799999996E-4</v>
      </c>
      <c r="J54" s="232">
        <f>((E55*$W$10*($W$10*E54*$D$36+2*(($D$38*$D$35*$E$76*$W$19)^0.5))*$E$73)/($D$35*100))</f>
        <v>5.8907476799999994E-4</v>
      </c>
      <c r="K54" s="214" t="s">
        <v>169</v>
      </c>
    </row>
    <row r="55" spans="1:11" ht="28.3">
      <c r="A55" s="26"/>
      <c r="B55" s="134" t="s">
        <v>186</v>
      </c>
      <c r="C55" s="39" t="s">
        <v>2</v>
      </c>
      <c r="D55" s="138" t="s">
        <v>122</v>
      </c>
      <c r="E55" s="174">
        <v>15</v>
      </c>
      <c r="F55" s="136" t="s">
        <v>11</v>
      </c>
      <c r="G55" s="215" t="s">
        <v>130</v>
      </c>
      <c r="H55" s="181" t="s">
        <v>2</v>
      </c>
      <c r="I55" s="216">
        <f>$I$38+I54</f>
        <v>2.1230892310218294</v>
      </c>
      <c r="J55" s="216">
        <f>$I$38+J54</f>
        <v>2.1231040443018294</v>
      </c>
      <c r="K55" s="214" t="s">
        <v>169</v>
      </c>
    </row>
    <row r="56" spans="1:11" ht="39" customHeight="1">
      <c r="A56" s="26"/>
      <c r="B56" s="155" t="s">
        <v>139</v>
      </c>
      <c r="C56" s="133"/>
      <c r="D56" s="135"/>
      <c r="E56" s="147"/>
      <c r="F56" s="136"/>
      <c r="G56" s="215" t="s">
        <v>136</v>
      </c>
      <c r="H56" s="181" t="s">
        <v>2</v>
      </c>
      <c r="I56" s="216">
        <f>I54+$I$42</f>
        <v>21.837184094063289</v>
      </c>
      <c r="J56" s="216">
        <f>J54+$I$42</f>
        <v>21.837198907343289</v>
      </c>
      <c r="K56" s="214" t="s">
        <v>169</v>
      </c>
    </row>
    <row r="57" spans="1:11" ht="30.9">
      <c r="A57" s="26"/>
      <c r="B57" s="134" t="s">
        <v>185</v>
      </c>
      <c r="C57" s="133" t="s">
        <v>2</v>
      </c>
      <c r="D57" s="135">
        <v>0.1</v>
      </c>
      <c r="E57" s="146">
        <v>0.1</v>
      </c>
      <c r="F57" s="136" t="s">
        <v>11</v>
      </c>
      <c r="G57" s="182" t="s">
        <v>157</v>
      </c>
      <c r="H57" s="181"/>
      <c r="I57" s="181"/>
      <c r="J57" s="181"/>
      <c r="K57" s="214"/>
    </row>
    <row r="58" spans="1:11" ht="41.05" customHeight="1">
      <c r="A58" s="26"/>
      <c r="B58" s="134" t="s">
        <v>184</v>
      </c>
      <c r="C58" s="133" t="s">
        <v>2</v>
      </c>
      <c r="D58" s="139" t="s">
        <v>123</v>
      </c>
      <c r="E58" s="146">
        <v>12.5</v>
      </c>
      <c r="F58" s="136" t="s">
        <v>11</v>
      </c>
      <c r="G58" s="215" t="s">
        <v>118</v>
      </c>
      <c r="H58" s="181" t="s">
        <v>2</v>
      </c>
      <c r="I58" s="232">
        <f>((E58*$W$10*($W$10*E57*$D$36+2*(($D$38*$D$35*$E$75*$W$19)^0.5))*$E$73)/($D$35*100))</f>
        <v>3.2177736E-4</v>
      </c>
      <c r="J58" s="232">
        <f>((E58*$W$10*($W$10*E57*$D$36+2*(($D$38*$D$35*$E$76*$W$19)^0.5))*$E$73)/($D$35*100))</f>
        <v>3.3412175999999999E-4</v>
      </c>
      <c r="K58" s="214" t="s">
        <v>169</v>
      </c>
    </row>
    <row r="59" spans="1:11" ht="26.15">
      <c r="A59" s="26"/>
      <c r="B59" s="222" t="s">
        <v>142</v>
      </c>
      <c r="C59" s="137"/>
      <c r="D59" s="135"/>
      <c r="E59" s="147"/>
      <c r="F59" s="136"/>
      <c r="G59" s="215" t="s">
        <v>130</v>
      </c>
      <c r="H59" s="181" t="s">
        <v>2</v>
      </c>
      <c r="I59" s="216">
        <f>$I$38+I58</f>
        <v>2.1228367468938294</v>
      </c>
      <c r="J59" s="216">
        <f>$I$38+J58</f>
        <v>2.1228490912938294</v>
      </c>
      <c r="K59" s="214" t="s">
        <v>169</v>
      </c>
    </row>
    <row r="60" spans="1:11" ht="28.3">
      <c r="A60" s="26"/>
      <c r="B60" s="134" t="s">
        <v>187</v>
      </c>
      <c r="C60" s="133" t="s">
        <v>2</v>
      </c>
      <c r="D60" s="135">
        <v>0.05</v>
      </c>
      <c r="E60" s="173">
        <v>0.05</v>
      </c>
      <c r="F60" s="136" t="s">
        <v>11</v>
      </c>
      <c r="G60" s="215" t="s">
        <v>136</v>
      </c>
      <c r="H60" s="181" t="s">
        <v>2</v>
      </c>
      <c r="I60" s="216">
        <f>I58+$I$42</f>
        <v>21.836931609935288</v>
      </c>
      <c r="J60" s="216">
        <f>J58+$I$42</f>
        <v>21.83694395433529</v>
      </c>
      <c r="K60" s="214" t="s">
        <v>169</v>
      </c>
    </row>
    <row r="61" spans="1:11" ht="30.9">
      <c r="A61" s="26"/>
      <c r="B61" s="134" t="s">
        <v>188</v>
      </c>
      <c r="C61" s="39" t="s">
        <v>2</v>
      </c>
      <c r="D61" s="138" t="s">
        <v>124</v>
      </c>
      <c r="E61" s="174">
        <v>3.5</v>
      </c>
      <c r="F61" s="136" t="s">
        <v>11</v>
      </c>
      <c r="G61" s="182" t="s">
        <v>135</v>
      </c>
      <c r="H61" s="181"/>
      <c r="I61" s="181"/>
      <c r="J61" s="181"/>
      <c r="K61" s="214"/>
    </row>
    <row r="62" spans="1:11" ht="37" customHeight="1">
      <c r="A62" s="26"/>
      <c r="B62" s="156" t="s">
        <v>143</v>
      </c>
      <c r="C62" s="157"/>
      <c r="D62" s="158"/>
      <c r="E62" s="147"/>
      <c r="F62" s="136"/>
      <c r="G62" s="215" t="s">
        <v>118</v>
      </c>
      <c r="H62" s="181" t="s">
        <v>2</v>
      </c>
      <c r="I62" s="232">
        <f>((E61*$W$10*($W$10*E60*$D$36+2*(($D$38*$D$35*$E$75*$W$19)^0.5))*$E$73)/($D$35*100))</f>
        <v>4.6200974400000002E-5</v>
      </c>
      <c r="J62" s="232">
        <f>((E61*$W$10*($W$10*E60*$D$36+2*(($D$38*$D$35*$E$76*$W$19)^0.5))*$E$73)/($D$35*100))</f>
        <v>4.9657406399999999E-5</v>
      </c>
      <c r="K62" s="214" t="s">
        <v>169</v>
      </c>
    </row>
    <row r="63" spans="1:11" ht="28.3">
      <c r="A63" s="26"/>
      <c r="B63" s="134" t="s">
        <v>187</v>
      </c>
      <c r="C63" s="133" t="s">
        <v>2</v>
      </c>
      <c r="D63" s="135">
        <v>0.05</v>
      </c>
      <c r="E63" s="173">
        <v>0.05</v>
      </c>
      <c r="F63" s="136" t="s">
        <v>11</v>
      </c>
      <c r="G63" s="215" t="s">
        <v>130</v>
      </c>
      <c r="H63" s="181" t="s">
        <v>2</v>
      </c>
      <c r="I63" s="216">
        <f>$I$38+I62</f>
        <v>2.1225611705082295</v>
      </c>
      <c r="J63" s="216">
        <f>$I$38+J62</f>
        <v>2.1225646269402296</v>
      </c>
      <c r="K63" s="214" t="s">
        <v>169</v>
      </c>
    </row>
    <row r="64" spans="1:11" ht="28.3">
      <c r="A64" s="26"/>
      <c r="B64" s="134" t="s">
        <v>189</v>
      </c>
      <c r="C64" s="39" t="s">
        <v>2</v>
      </c>
      <c r="D64" s="138" t="s">
        <v>127</v>
      </c>
      <c r="E64" s="174">
        <v>4</v>
      </c>
      <c r="F64" s="136" t="s">
        <v>11</v>
      </c>
      <c r="G64" s="215" t="s">
        <v>136</v>
      </c>
      <c r="H64" s="181" t="s">
        <v>2</v>
      </c>
      <c r="I64" s="216">
        <f>I62+$I$42</f>
        <v>21.836656033549687</v>
      </c>
      <c r="J64" s="216">
        <f>J62+$I$42</f>
        <v>21.836659489981688</v>
      </c>
      <c r="K64" s="214" t="s">
        <v>169</v>
      </c>
    </row>
    <row r="65" spans="1:11" ht="30.9">
      <c r="A65" s="26"/>
      <c r="B65" s="155" t="s">
        <v>144</v>
      </c>
      <c r="C65" s="137"/>
      <c r="D65" s="135"/>
      <c r="E65" s="147"/>
      <c r="F65" s="136"/>
      <c r="G65" s="182" t="s">
        <v>158</v>
      </c>
      <c r="H65" s="181"/>
      <c r="I65" s="181"/>
      <c r="J65" s="181"/>
      <c r="K65" s="214"/>
    </row>
    <row r="66" spans="1:11" ht="31" customHeight="1">
      <c r="A66" s="26"/>
      <c r="B66" s="134" t="s">
        <v>187</v>
      </c>
      <c r="C66" s="133" t="s">
        <v>2</v>
      </c>
      <c r="D66" s="135">
        <v>0.05</v>
      </c>
      <c r="E66" s="173">
        <v>0.05</v>
      </c>
      <c r="F66" s="136" t="s">
        <v>11</v>
      </c>
      <c r="G66" s="215" t="s">
        <v>118</v>
      </c>
      <c r="H66" s="181" t="s">
        <v>2</v>
      </c>
      <c r="I66" s="232">
        <f>((E64*$W$10*($W$10*E63*$D$36+2*(($D$38*$D$35*$E$75*$W$19)^0.5))*$E$73)/($D$35*100))</f>
        <v>5.2801113599999997E-5</v>
      </c>
      <c r="J66" s="232">
        <f>((E64*$W$10*($W$10*E63*$D$36+2*(($D$38*$D$35*$E$76*$W$19)^0.5))*$E$73)/($D$35*100))</f>
        <v>5.6751321599999994E-5</v>
      </c>
      <c r="K66" s="214" t="s">
        <v>169</v>
      </c>
    </row>
    <row r="67" spans="1:11" ht="28.3">
      <c r="A67" s="26"/>
      <c r="B67" s="134" t="s">
        <v>189</v>
      </c>
      <c r="C67" s="39" t="s">
        <v>2</v>
      </c>
      <c r="D67" s="138" t="s">
        <v>127</v>
      </c>
      <c r="E67" s="174">
        <v>3</v>
      </c>
      <c r="F67" s="136" t="s">
        <v>11</v>
      </c>
      <c r="G67" s="215" t="s">
        <v>130</v>
      </c>
      <c r="H67" s="181" t="s">
        <v>2</v>
      </c>
      <c r="I67" s="216">
        <f>$I$38+I66</f>
        <v>2.1225677706474295</v>
      </c>
      <c r="J67" s="216">
        <f>$I$38+J66</f>
        <v>2.1225717208554293</v>
      </c>
      <c r="K67" s="214" t="s">
        <v>169</v>
      </c>
    </row>
    <row r="68" spans="1:11" ht="26.15">
      <c r="A68" s="26"/>
      <c r="B68" s="155" t="s">
        <v>145</v>
      </c>
      <c r="C68" s="133"/>
      <c r="D68" s="133"/>
      <c r="E68" s="147"/>
      <c r="F68" s="136"/>
      <c r="G68" s="215" t="s">
        <v>136</v>
      </c>
      <c r="H68" s="181" t="s">
        <v>2</v>
      </c>
      <c r="I68" s="216">
        <f>I66+$I$42</f>
        <v>21.836662633688888</v>
      </c>
      <c r="J68" s="216">
        <f>J66+$I$42</f>
        <v>21.836666583896889</v>
      </c>
      <c r="K68" s="214" t="s">
        <v>169</v>
      </c>
    </row>
    <row r="69" spans="1:11" ht="30.9">
      <c r="A69" s="26"/>
      <c r="B69" s="134" t="s">
        <v>187</v>
      </c>
      <c r="C69" s="133" t="s">
        <v>2</v>
      </c>
      <c r="D69" s="135">
        <v>0.05</v>
      </c>
      <c r="E69" s="173">
        <v>0.05</v>
      </c>
      <c r="F69" s="136" t="s">
        <v>11</v>
      </c>
      <c r="G69" s="182" t="s">
        <v>159</v>
      </c>
      <c r="H69" s="181"/>
      <c r="I69" s="181"/>
      <c r="J69" s="181"/>
      <c r="K69" s="214"/>
    </row>
    <row r="70" spans="1:11" ht="34" customHeight="1">
      <c r="A70" s="26"/>
      <c r="B70" s="134" t="s">
        <v>189</v>
      </c>
      <c r="C70" s="39" t="s">
        <v>2</v>
      </c>
      <c r="D70" s="138" t="s">
        <v>127</v>
      </c>
      <c r="E70" s="174">
        <v>2</v>
      </c>
      <c r="F70" s="136" t="s">
        <v>11</v>
      </c>
      <c r="G70" s="215" t="s">
        <v>118</v>
      </c>
      <c r="H70" s="181" t="s">
        <v>2</v>
      </c>
      <c r="I70" s="232">
        <f>((E67*$W$10*($W$10*E66*$D$36+2*(($D$38*$D$35*$E$75*$W$19)^0.5))*$E$73)/($D$35*100))</f>
        <v>3.9600835199999994E-5</v>
      </c>
      <c r="J70" s="232">
        <f>((E67*$W$10*($W$10*E66*$D$36+2*(($D$38*$D$35*$E$76*$W$19)^0.5))*$E$73)/($D$35*100))</f>
        <v>4.2563491199999992E-5</v>
      </c>
      <c r="K70" s="214" t="s">
        <v>169</v>
      </c>
    </row>
    <row r="71" spans="1:11" ht="26.15">
      <c r="A71" s="26"/>
      <c r="B71" s="177"/>
      <c r="C71" s="39"/>
      <c r="D71" s="39"/>
      <c r="E71" s="39"/>
      <c r="F71" s="136"/>
      <c r="G71" s="215" t="s">
        <v>130</v>
      </c>
      <c r="H71" s="181" t="s">
        <v>2</v>
      </c>
      <c r="I71" s="216">
        <f>$I$38+I70</f>
        <v>2.1225545703690294</v>
      </c>
      <c r="J71" s="216">
        <f>$I$38+J70</f>
        <v>2.1225575330250295</v>
      </c>
      <c r="K71" s="214" t="s">
        <v>169</v>
      </c>
    </row>
    <row r="72" spans="1:11" ht="26.15">
      <c r="A72" s="26"/>
      <c r="B72" s="133"/>
      <c r="C72" s="133"/>
      <c r="D72" s="133"/>
      <c r="E72" s="147"/>
      <c r="F72" s="133"/>
      <c r="G72" s="215" t="s">
        <v>136</v>
      </c>
      <c r="H72" s="181" t="s">
        <v>2</v>
      </c>
      <c r="I72" s="216">
        <f>I70+$I$42</f>
        <v>21.836649433410489</v>
      </c>
      <c r="J72" s="216">
        <f>J70+$I$42</f>
        <v>21.836652396066487</v>
      </c>
      <c r="K72" s="214" t="s">
        <v>169</v>
      </c>
    </row>
    <row r="73" spans="1:11" ht="30.9">
      <c r="A73" s="128" t="s">
        <v>114</v>
      </c>
      <c r="B73" s="152" t="s">
        <v>96</v>
      </c>
      <c r="C73" s="31" t="s">
        <v>2</v>
      </c>
      <c r="D73" s="140"/>
      <c r="E73" s="175">
        <v>27</v>
      </c>
      <c r="F73" s="141" t="s">
        <v>168</v>
      </c>
      <c r="G73" s="182" t="s">
        <v>160</v>
      </c>
      <c r="H73" s="181"/>
      <c r="I73" s="181"/>
      <c r="J73" s="181"/>
      <c r="K73" s="214"/>
    </row>
    <row r="74" spans="1:11" ht="36" customHeight="1">
      <c r="A74" s="26"/>
      <c r="B74" s="133"/>
      <c r="C74" s="133"/>
      <c r="D74" s="133"/>
      <c r="E74" s="147"/>
      <c r="F74" s="133"/>
      <c r="G74" s="215" t="s">
        <v>118</v>
      </c>
      <c r="H74" s="181" t="s">
        <v>2</v>
      </c>
      <c r="I74" s="232">
        <f>((E70*(E69*$D$36+2*(($D$38*$D$35*$E$75*$W$19)^0.5))*$E$73)/($D$35*100))</f>
        <v>7.0200000000000007E-8</v>
      </c>
      <c r="J74" s="232">
        <f>((E70*$W$10*($W$10*E69*$D$36+2*(($D$38*$D$35*$E$76*$W$19)^0.5))*$E$73)/($D$35*100))</f>
        <v>2.8375660799999997E-5</v>
      </c>
      <c r="K74" s="214" t="s">
        <v>169</v>
      </c>
    </row>
    <row r="75" spans="1:11" ht="28.3">
      <c r="A75" s="26"/>
      <c r="B75" s="153" t="s">
        <v>95</v>
      </c>
      <c r="C75" s="133" t="s">
        <v>2</v>
      </c>
      <c r="D75" s="142" t="s">
        <v>101</v>
      </c>
      <c r="E75" s="163">
        <v>1.6000000000000001E-8</v>
      </c>
      <c r="F75" s="143" t="s">
        <v>102</v>
      </c>
      <c r="G75" s="215" t="s">
        <v>130</v>
      </c>
      <c r="H75" s="181" t="s">
        <v>2</v>
      </c>
      <c r="I75" s="216">
        <f>$I$38+I74</f>
        <v>2.1225150397338295</v>
      </c>
      <c r="J75" s="216">
        <f>$I$38+J74</f>
        <v>2.1225433451946296</v>
      </c>
      <c r="K75" s="214" t="s">
        <v>169</v>
      </c>
    </row>
    <row r="76" spans="1:11" ht="28.75" thickBot="1">
      <c r="A76" s="144"/>
      <c r="B76" s="154"/>
      <c r="C76" s="110" t="s">
        <v>2</v>
      </c>
      <c r="D76" s="145" t="s">
        <v>103</v>
      </c>
      <c r="E76" s="172">
        <v>9.9999999999999995E-8</v>
      </c>
      <c r="F76" s="110" t="s">
        <v>102</v>
      </c>
      <c r="G76" s="217" t="s">
        <v>136</v>
      </c>
      <c r="H76" s="218" t="s">
        <v>2</v>
      </c>
      <c r="I76" s="219">
        <f>I74+$I$42</f>
        <v>21.836609902775287</v>
      </c>
      <c r="J76" s="219">
        <f>J74+$I$42</f>
        <v>21.836638208236089</v>
      </c>
      <c r="K76" s="220" t="s">
        <v>169</v>
      </c>
    </row>
    <row r="77" spans="1:11" ht="15" thickTop="1"/>
    <row r="78" spans="1:11" ht="54" customHeight="1" thickBot="1">
      <c r="G78" s="51"/>
    </row>
    <row r="79" spans="1:11" ht="28.75" thickTop="1">
      <c r="A79" s="100"/>
      <c r="B79" s="126" t="s">
        <v>0</v>
      </c>
      <c r="G79" s="52"/>
    </row>
    <row r="80" spans="1:11" ht="28.75" thickBot="1">
      <c r="B80" s="127" t="s">
        <v>30</v>
      </c>
      <c r="F80" s="99"/>
      <c r="G80" s="52"/>
    </row>
    <row r="81" spans="1:7" ht="15" thickTop="1"/>
    <row r="84" spans="1:7" ht="26.15">
      <c r="A84" s="149" t="s">
        <v>46</v>
      </c>
    </row>
    <row r="85" spans="1:7" ht="20.6">
      <c r="A85" s="51"/>
    </row>
    <row r="86" spans="1:7" ht="20.149999999999999">
      <c r="A86" s="52" t="s">
        <v>48</v>
      </c>
    </row>
    <row r="87" spans="1:7" ht="20.149999999999999">
      <c r="A87" s="52" t="s">
        <v>61</v>
      </c>
    </row>
    <row r="88" spans="1:7" ht="20.149999999999999">
      <c r="A88" s="52" t="s">
        <v>60</v>
      </c>
    </row>
    <row r="89" spans="1:7" ht="80.05" customHeight="1">
      <c r="A89" s="260" t="s">
        <v>137</v>
      </c>
      <c r="B89" s="260"/>
      <c r="C89" s="260"/>
      <c r="D89" s="260"/>
      <c r="E89" s="260"/>
      <c r="F89" s="260"/>
    </row>
    <row r="92" spans="1:7" ht="26.15">
      <c r="A92" s="221" t="s">
        <v>146</v>
      </c>
      <c r="B92" s="149"/>
      <c r="C92" s="149"/>
      <c r="D92" s="149"/>
      <c r="E92" s="149"/>
      <c r="G92" s="52"/>
    </row>
    <row r="93" spans="1:7" ht="20.05" customHeight="1">
      <c r="A93" s="223" t="s">
        <v>138</v>
      </c>
      <c r="B93" s="51"/>
      <c r="C93" s="51"/>
      <c r="D93" s="51"/>
      <c r="E93" s="51"/>
      <c r="F93" s="149"/>
      <c r="G93" s="108"/>
    </row>
    <row r="94" spans="1:7" ht="26.15">
      <c r="A94" s="224" t="s">
        <v>140</v>
      </c>
      <c r="B94" s="52"/>
      <c r="C94" s="52"/>
      <c r="D94" s="52"/>
      <c r="E94" s="52"/>
      <c r="F94" s="51"/>
    </row>
    <row r="95" spans="1:7" ht="26.15">
      <c r="A95" s="224" t="s">
        <v>147</v>
      </c>
      <c r="B95" s="52"/>
      <c r="C95" s="52"/>
      <c r="D95" s="52"/>
      <c r="E95" s="52"/>
      <c r="F95" s="52"/>
    </row>
    <row r="96" spans="1:7" ht="26.15">
      <c r="A96" s="224" t="s">
        <v>148</v>
      </c>
      <c r="B96" s="52"/>
      <c r="C96" s="52"/>
      <c r="D96" s="52"/>
      <c r="E96" s="52"/>
      <c r="F96" s="52"/>
    </row>
    <row r="97" spans="1:6" ht="26.15">
      <c r="A97" s="225" t="s">
        <v>149</v>
      </c>
      <c r="B97" s="150"/>
      <c r="C97" s="150"/>
      <c r="D97" s="150"/>
      <c r="E97" s="150"/>
      <c r="F97" s="150"/>
    </row>
    <row r="98" spans="1:6" ht="26.15">
      <c r="A98" s="226" t="s">
        <v>150</v>
      </c>
    </row>
    <row r="99" spans="1:6" ht="26.15">
      <c r="A99" s="224" t="s">
        <v>151</v>
      </c>
    </row>
    <row r="100" spans="1:6" ht="26.15">
      <c r="A100" s="224" t="s">
        <v>152</v>
      </c>
    </row>
    <row r="101" spans="1:6" ht="26.15">
      <c r="A101" s="224" t="s">
        <v>153</v>
      </c>
    </row>
  </sheetData>
  <mergeCells count="38">
    <mergeCell ref="M8:R8"/>
    <mergeCell ref="M20:R20"/>
    <mergeCell ref="M9:R9"/>
    <mergeCell ref="J43:K43"/>
    <mergeCell ref="A89:F89"/>
    <mergeCell ref="B44:F44"/>
    <mergeCell ref="J28:K28"/>
    <mergeCell ref="J29:K29"/>
    <mergeCell ref="J30:K30"/>
    <mergeCell ref="J31:K31"/>
    <mergeCell ref="J35:K35"/>
    <mergeCell ref="J38:K38"/>
    <mergeCell ref="J40:K40"/>
    <mergeCell ref="J42:K42"/>
    <mergeCell ref="J41:K41"/>
    <mergeCell ref="J34:K34"/>
    <mergeCell ref="J39:K39"/>
    <mergeCell ref="J37:K37"/>
    <mergeCell ref="A8:D8"/>
    <mergeCell ref="C9:D9"/>
    <mergeCell ref="C13:D13"/>
    <mergeCell ref="C12:D12"/>
    <mergeCell ref="J36:K36"/>
    <mergeCell ref="J32:K32"/>
    <mergeCell ref="J33:K33"/>
    <mergeCell ref="C18:D18"/>
    <mergeCell ref="T9:X9"/>
    <mergeCell ref="C14:D14"/>
    <mergeCell ref="O32:R32"/>
    <mergeCell ref="M30:P30"/>
    <mergeCell ref="C11:D11"/>
    <mergeCell ref="C10:D10"/>
    <mergeCell ref="C19:D19"/>
    <mergeCell ref="A25:J25"/>
    <mergeCell ref="W31:AD32"/>
    <mergeCell ref="O31:R31"/>
    <mergeCell ref="C15:D15"/>
    <mergeCell ref="C16:D16"/>
  </mergeCells>
  <phoneticPr fontId="12" type="noConversion"/>
  <pageMargins left="0.7" right="0.7" top="0.75" bottom="0.75" header="0.3" footer="0.3"/>
  <pageSetup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96769-1776-4D1A-86FD-609E97226710}">
  <dimension ref="A1"/>
  <sheetViews>
    <sheetView workbookViewId="0"/>
  </sheetViews>
  <sheetFormatPr defaultColWidth="8.84375" defaultRowHeight="14.6"/>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A868080B36B149AE162F96217DCDC0" ma:contentTypeVersion="16" ma:contentTypeDescription="Create a new document." ma:contentTypeScope="" ma:versionID="7746cbc2c9afb23c17d76ad97de6c9a9">
  <xsd:schema xmlns:xsd="http://www.w3.org/2001/XMLSchema" xmlns:xs="http://www.w3.org/2001/XMLSchema" xmlns:p="http://schemas.microsoft.com/office/2006/metadata/properties" xmlns:ns2="76678db3-ce0f-443e-9666-e0ac5ee1f4a8" xmlns:ns3="b988ca24-2d23-4a50-a4c5-66d2a1202c8b" targetNamespace="http://schemas.microsoft.com/office/2006/metadata/properties" ma:root="true" ma:fieldsID="16362875194ea6b7181071b609591764" ns2:_="" ns3:_="">
    <xsd:import namespace="76678db3-ce0f-443e-9666-e0ac5ee1f4a8"/>
    <xsd:import namespace="b988ca24-2d23-4a50-a4c5-66d2a1202c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678db3-ce0f-443e-9666-e0ac5ee1f4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Length (seconds)"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629c9-180c-4a40-8a82-eb98ebd19cb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988ca24-2d23-4a50-a4c5-66d2a1202c8b"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1b65fbb-2a39-44b6-b00c-c12d7002975a}" ma:internalName="TaxCatchAll" ma:showField="CatchAllData" ma:web="b988ca24-2d23-4a50-a4c5-66d2a1202c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E7663A-75DF-47F2-8DF0-7A7FD99028BA}"/>
</file>

<file path=customXml/itemProps2.xml><?xml version="1.0" encoding="utf-8"?>
<ds:datastoreItem xmlns:ds="http://schemas.openxmlformats.org/officeDocument/2006/customXml" ds:itemID="{F7A7053C-71C7-49A8-B533-0CF2D4B4D7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Wrinkle</vt:lpstr>
      <vt:lpstr>Dimensional Stability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Chen</dc:creator>
  <cp:lastModifiedBy>Stark, Timothy D</cp:lastModifiedBy>
  <dcterms:created xsi:type="dcterms:W3CDTF">2017-04-10T18:09:00Z</dcterms:created>
  <dcterms:modified xsi:type="dcterms:W3CDTF">2022-06-03T16:16:07Z</dcterms:modified>
</cp:coreProperties>
</file>